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haun\Desktop\Documents\Approved Budget 2022 2023 FY\"/>
    </mc:Choice>
  </mc:AlternateContent>
  <xr:revisionPtr revIDLastSave="0" documentId="13_ncr:1_{82332910-90C6-4FBE-97DC-0FD85365F258}" xr6:coauthVersionLast="47" xr6:coauthVersionMax="47" xr10:uidLastSave="{00000000-0000-0000-0000-000000000000}"/>
  <bookViews>
    <workbookView xWindow="-120" yWindow="-120" windowWidth="20730" windowHeight="11160" firstSheet="35" activeTab="38" xr2:uid="{00000000-000D-0000-FFFF-FFFF00000000}"/>
  </bookViews>
  <sheets>
    <sheet name="SUMM" sheetId="42" r:id="rId1"/>
    <sheet name="SUMMINC" sheetId="41" r:id="rId2"/>
    <sheet name="SUMMEXP" sheetId="40" r:id="rId3"/>
    <sheet name="PROJECTS" sheetId="38" r:id="rId4"/>
    <sheet name="PROGRAMMES" sheetId="39" r:id="rId5"/>
    <sheet name="6805_Council Services" sheetId="36" r:id="rId6"/>
    <sheet name="6053_Senior Management" sheetId="1" r:id="rId7"/>
    <sheet name="6055_PMU" sheetId="2" r:id="rId8"/>
    <sheet name="6057_Risk Mgt" sheetId="3" r:id="rId9"/>
    <sheet name="6059_Internal Audit" sheetId="4" r:id="rId10"/>
    <sheet name="6103_HRM" sheetId="5" r:id="rId11"/>
    <sheet name="6104_HRD" sheetId="6" r:id="rId12"/>
    <sheet name="6105_Information Tech" sheetId="7" r:id="rId13"/>
    <sheet name="6107_Property Services" sheetId="8" r:id="rId14"/>
    <sheet name="6108_Legal" sheetId="9" r:id="rId15"/>
    <sheet name="6109_Admin" sheetId="10" r:id="rId16"/>
    <sheet name="6111_Fleet MGT" sheetId="11" r:id="rId17"/>
    <sheet name="6114_Asset Mgt" sheetId="14" r:id="rId18"/>
    <sheet name="6113_SCM" sheetId="13" r:id="rId19"/>
    <sheet name="6115_Revenue" sheetId="15" r:id="rId20"/>
    <sheet name="6117_Expenditure" sheetId="16" r:id="rId21"/>
    <sheet name="6119_BTO" sheetId="17" r:id="rId22"/>
    <sheet name="6121_Payroll" sheetId="21" r:id="rId23"/>
    <sheet name="6151_Strategic Planning" sheetId="18" r:id="rId24"/>
    <sheet name="6153_LED" sheetId="19" r:id="rId25"/>
    <sheet name="6155_Town Planning Adm" sheetId="20" r:id="rId26"/>
    <sheet name="6251_Library Services" sheetId="22" r:id="rId27"/>
    <sheet name="6255_Community Facilities" sheetId="23" r:id="rId28"/>
    <sheet name="6267_Cemetery" sheetId="24" r:id="rId29"/>
    <sheet name="6273_Community Other" sheetId="25" r:id="rId30"/>
    <sheet name="6301_Housing" sheetId="26" r:id="rId31"/>
    <sheet name="6351_Security Services" sheetId="27" r:id="rId32"/>
    <sheet name="6353_Disaster Mgt" sheetId="28" r:id="rId33"/>
    <sheet name="6401Roads Operations(Sports)" sheetId="29" r:id="rId34"/>
    <sheet name="6501_Solid Waste" sheetId="37" r:id="rId35"/>
    <sheet name="6601_Roads" sheetId="31" r:id="rId36"/>
    <sheet name="6603Public Transport" sheetId="32" r:id="rId37"/>
    <sheet name="6607_Vehicle &amp; Licensing" sheetId="33" r:id="rId38"/>
    <sheet name="6707_Electricity Operations" sheetId="35" r:id="rId39"/>
    <sheet name="Workings" sheetId="43" state="hidden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xlnm._FilterDatabase" localSheetId="6" hidden="1">'6053_Senior Management'!$A$4:$K$97</definedName>
    <definedName name="_xlnm._FilterDatabase" localSheetId="7">'6055_PMU'!$A$4:$F$6348</definedName>
    <definedName name="_xlnm._FilterDatabase" localSheetId="8">'6057_Risk Mgt'!$A$4:$F$6337</definedName>
    <definedName name="_xlnm._FilterDatabase" localSheetId="9">'6059_Internal Audit'!$A$4:$F$6336</definedName>
    <definedName name="_xlnm._FilterDatabase" localSheetId="10">'6103_HRM'!$A$4:$F$6337</definedName>
    <definedName name="_xlnm._FilterDatabase" localSheetId="11">'6104_HRD'!$A$4:$F$6340</definedName>
    <definedName name="_xlnm._FilterDatabase" localSheetId="12">'6105_Information Tech'!$A$4:$F$6336</definedName>
    <definedName name="_xlnm._FilterDatabase" localSheetId="13">'6107_Property Services'!$A$4:$F$6346</definedName>
    <definedName name="_xlnm._FilterDatabase" localSheetId="14">'6108_Legal'!$A$4:$F$6340</definedName>
    <definedName name="_xlnm._FilterDatabase" localSheetId="15">'6109_Admin'!$A$4:$F$6339</definedName>
    <definedName name="_xlnm._FilterDatabase" localSheetId="16">'6111_Fleet MGT'!$A$4:$F$6346</definedName>
    <definedName name="_xlnm._FilterDatabase" localSheetId="18">'6113_SCM'!$A$4:$F$6337</definedName>
    <definedName name="_xlnm._FilterDatabase" localSheetId="17">'6114_Asset Mgt'!$A$4:$F$6315</definedName>
    <definedName name="_xlnm._FilterDatabase" localSheetId="19" hidden="1">'6115_Revenue'!$A$1:$T$101</definedName>
    <definedName name="_xlnm._FilterDatabase" localSheetId="20">'6117_Expenditure'!$A$4:$F$6336</definedName>
    <definedName name="_xlnm._FilterDatabase" localSheetId="21">'6119_BTO'!$A$4:$F$6328</definedName>
    <definedName name="_xlnm._FilterDatabase" localSheetId="22">'6121_Payroll'!$A$4:$F$6332</definedName>
    <definedName name="_xlnm._FilterDatabase" localSheetId="23">'6151_Strategic Planning'!$A$4:$F$6337</definedName>
    <definedName name="_xlnm._FilterDatabase" localSheetId="24">'6153_LED'!$A$4:$F$6340</definedName>
    <definedName name="_xlnm._FilterDatabase" localSheetId="25">'6155_Town Planning Adm'!$A$4:$F$6343</definedName>
    <definedName name="_xlnm._FilterDatabase" localSheetId="26">'6251_Library Services'!$A$4:$F$6342</definedName>
    <definedName name="_xlnm._FilterDatabase" localSheetId="27">'6255_Community Facilities'!$A$4:$F$6343</definedName>
    <definedName name="_xlnm._FilterDatabase" localSheetId="28">'6267_Cemetery'!$A$4:$F$6343</definedName>
    <definedName name="_xlnm._FilterDatabase" localSheetId="29">'6273_Community Other'!$A$4:$F$6335</definedName>
    <definedName name="_xlnm._FilterDatabase" localSheetId="30">'6301_Housing'!$A$4:$F$6342</definedName>
    <definedName name="_xlnm._FilterDatabase" localSheetId="31">'6351_Security Services'!$A$4:$F$6341</definedName>
    <definedName name="_xlnm._FilterDatabase" localSheetId="32">'6353_Disaster Mgt'!$A$4:$F$6338</definedName>
    <definedName name="_xlnm._FilterDatabase" localSheetId="33">'6401Roads Operations(Sports)'!$A$4:$F$6340</definedName>
    <definedName name="_xlnm._FilterDatabase" localSheetId="34">'6501_Solid Waste'!$A$4:$F$6341</definedName>
    <definedName name="_xlnm._FilterDatabase" localSheetId="35">'6601_Roads'!$A$4:$F$6342</definedName>
    <definedName name="_xlnm._FilterDatabase" localSheetId="36">'6603Public Transport'!$A$4:$F$6338</definedName>
    <definedName name="_xlnm._FilterDatabase" localSheetId="37">'6607_Vehicle &amp; Licensing'!$A$4:$F$6348</definedName>
    <definedName name="_xlnm._FilterDatabase" localSheetId="38">'6707_Electricity Operations'!$A$4:$F$6342</definedName>
    <definedName name="_xlnm._FilterDatabase" localSheetId="5">'6805_Council Services'!$A$4:$F$6341</definedName>
    <definedName name="_xlnm._FilterDatabase" localSheetId="4" hidden="1">PROGRAMMES!$A$1:$O$209</definedName>
    <definedName name="_xlnm._FilterDatabase" localSheetId="3" hidden="1">PROJECTS!$A$1:$K$299</definedName>
    <definedName name="_xlnm.Print_Titles" localSheetId="6">'6053_Senior Management'!$4:$4</definedName>
    <definedName name="_xlnm.Print_Titles" localSheetId="7">'6055_PMU'!$4:$4</definedName>
    <definedName name="_xlnm.Print_Titles" localSheetId="8">'6057_Risk Mgt'!$4:$4</definedName>
    <definedName name="_xlnm.Print_Titles" localSheetId="9">'6059_Internal Audit'!$4:$4</definedName>
    <definedName name="_xlnm.Print_Titles" localSheetId="10">'6103_HRM'!$4:$4</definedName>
    <definedName name="_xlnm.Print_Titles" localSheetId="11">'6104_HRD'!$4:$4</definedName>
    <definedName name="_xlnm.Print_Titles" localSheetId="12">'6105_Information Tech'!$4:$4</definedName>
    <definedName name="_xlnm.Print_Titles" localSheetId="13">'6107_Property Services'!$4:$4</definedName>
    <definedName name="_xlnm.Print_Titles" localSheetId="14">'6108_Legal'!$4:$4</definedName>
    <definedName name="_xlnm.Print_Titles" localSheetId="15">'6109_Admin'!$4:$4</definedName>
    <definedName name="_xlnm.Print_Titles" localSheetId="16">'6111_Fleet MGT'!$4:$4</definedName>
    <definedName name="_xlnm.Print_Titles" localSheetId="18">'6113_SCM'!$4:$4</definedName>
    <definedName name="_xlnm.Print_Titles" localSheetId="17">'6114_Asset Mgt'!$4:$4</definedName>
    <definedName name="_xlnm.Print_Titles" localSheetId="19">'6115_Revenue'!$4:$4</definedName>
    <definedName name="_xlnm.Print_Titles" localSheetId="20">'6117_Expenditure'!$4:$4</definedName>
    <definedName name="_xlnm.Print_Titles" localSheetId="21">'6119_BTO'!$4:$4</definedName>
    <definedName name="_xlnm.Print_Titles" localSheetId="22">'6121_Payroll'!$4:$4</definedName>
    <definedName name="_xlnm.Print_Titles" localSheetId="23">'6151_Strategic Planning'!$4:$4</definedName>
    <definedName name="_xlnm.Print_Titles" localSheetId="24">'6153_LED'!$4:$4</definedName>
    <definedName name="_xlnm.Print_Titles" localSheetId="25">'6155_Town Planning Adm'!$4:$4</definedName>
    <definedName name="_xlnm.Print_Titles" localSheetId="26">'6251_Library Services'!$4:$4</definedName>
    <definedName name="_xlnm.Print_Titles" localSheetId="27">'6255_Community Facilities'!$4:$4</definedName>
    <definedName name="_xlnm.Print_Titles" localSheetId="28">'6267_Cemetery'!$4:$4</definedName>
    <definedName name="_xlnm.Print_Titles" localSheetId="29">'6273_Community Other'!$4:$4</definedName>
    <definedName name="_xlnm.Print_Titles" localSheetId="30">'6301_Housing'!$4:$4</definedName>
    <definedName name="_xlnm.Print_Titles" localSheetId="31">'6351_Security Services'!$4:$4</definedName>
    <definedName name="_xlnm.Print_Titles" localSheetId="32">'6353_Disaster Mgt'!$4:$4</definedName>
    <definedName name="_xlnm.Print_Titles" localSheetId="33">'6401Roads Operations(Sports)'!$4:$4</definedName>
    <definedName name="_xlnm.Print_Titles" localSheetId="34">'6501_Solid Waste'!$4:$4</definedName>
    <definedName name="_xlnm.Print_Titles" localSheetId="35">'6601_Roads'!$4:$4</definedName>
    <definedName name="_xlnm.Print_Titles" localSheetId="36">'6603Public Transport'!$4:$4</definedName>
    <definedName name="_xlnm.Print_Titles" localSheetId="37">'6607_Vehicle &amp; Licensing'!$4:$4</definedName>
    <definedName name="_xlnm.Print_Titles" localSheetId="38">'6707_Electricity Operations'!$4:$4</definedName>
    <definedName name="_xlnm.Print_Titles" localSheetId="5">'6805_Council Services'!$4:$4</definedName>
    <definedName name="_xlnm.Print_Titles" localSheetId="4">PROGRAMMES!$4:$4</definedName>
    <definedName name="_xlnm.Print_Titles" localSheetId="3">PROJECTS!$4:$4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3" i="38" l="1"/>
  <c r="L223" i="38"/>
  <c r="K223" i="38"/>
  <c r="J223" i="38"/>
  <c r="Q39" i="2"/>
  <c r="P39" i="2"/>
  <c r="O39" i="2"/>
  <c r="S25" i="2"/>
  <c r="S16" i="2"/>
  <c r="S15" i="2"/>
  <c r="S12" i="2"/>
  <c r="S10" i="2"/>
  <c r="S5" i="2"/>
  <c r="S9" i="5"/>
  <c r="S9" i="14"/>
  <c r="S8" i="18"/>
  <c r="S16" i="19"/>
  <c r="S17" i="20"/>
  <c r="S13" i="22"/>
  <c r="S12" i="3"/>
  <c r="S13" i="6"/>
  <c r="S17" i="8"/>
  <c r="S9" i="10"/>
  <c r="S16" i="11"/>
  <c r="S20" i="13"/>
  <c r="S60" i="15"/>
  <c r="S13" i="16"/>
  <c r="S23" i="17"/>
  <c r="S7" i="21"/>
  <c r="S9" i="27"/>
  <c r="S13" i="29"/>
  <c r="V8" i="28"/>
  <c r="S19" i="37"/>
  <c r="S8" i="32"/>
  <c r="S19" i="33"/>
  <c r="L97" i="38" l="1"/>
  <c r="L124" i="38"/>
  <c r="N30" i="15"/>
  <c r="N54" i="15" s="1"/>
  <c r="G11" i="41" s="1"/>
  <c r="P200" i="39"/>
  <c r="N55" i="36"/>
  <c r="N98" i="1"/>
  <c r="G9" i="40" s="1"/>
  <c r="N48" i="2"/>
  <c r="N39" i="3"/>
  <c r="N36" i="4"/>
  <c r="G12" i="40" s="1"/>
  <c r="N33" i="5"/>
  <c r="N43" i="6"/>
  <c r="N8" i="6"/>
  <c r="N39" i="7"/>
  <c r="N42" i="8"/>
  <c r="G16" i="40" s="1"/>
  <c r="N9" i="8"/>
  <c r="N35" i="9"/>
  <c r="N42" i="10"/>
  <c r="G18" i="40" s="1"/>
  <c r="N46" i="11"/>
  <c r="N11" i="11"/>
  <c r="G9" i="41" s="1"/>
  <c r="N45" i="14"/>
  <c r="N42" i="13"/>
  <c r="N8" i="13"/>
  <c r="N96" i="15"/>
  <c r="N35" i="16"/>
  <c r="N51" i="17"/>
  <c r="N8" i="17"/>
  <c r="G12" i="41" s="1"/>
  <c r="N27" i="21"/>
  <c r="N26" i="18"/>
  <c r="N36" i="19"/>
  <c r="N10" i="19"/>
  <c r="G13" i="41" s="1"/>
  <c r="N38" i="20"/>
  <c r="N11" i="20"/>
  <c r="N29" i="22"/>
  <c r="N8" i="22"/>
  <c r="N27" i="23"/>
  <c r="G30" i="40" s="1"/>
  <c r="N8" i="23"/>
  <c r="G16" i="41" s="1"/>
  <c r="N13" i="24"/>
  <c r="G17" i="41" s="1"/>
  <c r="N34" i="24"/>
  <c r="G31" i="40" s="1"/>
  <c r="N26" i="25"/>
  <c r="G32" i="40" s="1"/>
  <c r="N32" i="26"/>
  <c r="G33" i="40" s="1"/>
  <c r="N8" i="26"/>
  <c r="N38" i="27"/>
  <c r="Q30" i="28"/>
  <c r="N33" i="29"/>
  <c r="N8" i="29"/>
  <c r="N48" i="37"/>
  <c r="N13" i="37"/>
  <c r="G20" i="41" s="1"/>
  <c r="N38" i="31"/>
  <c r="N8" i="31"/>
  <c r="N17" i="32"/>
  <c r="N13" i="33"/>
  <c r="N47" i="33"/>
  <c r="G40" i="40" s="1"/>
  <c r="N36" i="35"/>
  <c r="G23" i="40"/>
  <c r="G22" i="40"/>
  <c r="G21" i="40"/>
  <c r="G20" i="40"/>
  <c r="G19" i="40"/>
  <c r="G15" i="40"/>
  <c r="G14" i="40"/>
  <c r="G13" i="40"/>
  <c r="G17" i="40"/>
  <c r="G11" i="40"/>
  <c r="G10" i="40"/>
  <c r="G8" i="40"/>
  <c r="G7" i="40"/>
  <c r="G38" i="40"/>
  <c r="G37" i="40"/>
  <c r="G36" i="40"/>
  <c r="G35" i="40"/>
  <c r="G39" i="40"/>
  <c r="G41" i="40"/>
  <c r="G34" i="40"/>
  <c r="G29" i="40"/>
  <c r="G28" i="40"/>
  <c r="G27" i="40"/>
  <c r="G26" i="40"/>
  <c r="G25" i="40"/>
  <c r="G24" i="40"/>
  <c r="G22" i="41"/>
  <c r="G21" i="41"/>
  <c r="G19" i="41"/>
  <c r="G18" i="41"/>
  <c r="G15" i="41"/>
  <c r="G14" i="41"/>
  <c r="G10" i="41"/>
  <c r="G8" i="41"/>
  <c r="G7" i="41"/>
  <c r="E11" i="42"/>
  <c r="L225" i="38" l="1"/>
  <c r="E12" i="42" s="1"/>
  <c r="G24" i="41"/>
  <c r="E7" i="42" s="1"/>
  <c r="G6" i="40" l="1"/>
  <c r="G42" i="40" s="1"/>
  <c r="E10" i="42" s="1"/>
  <c r="E9" i="42" s="1"/>
  <c r="E14" i="42" l="1"/>
  <c r="P26" i="7" l="1"/>
  <c r="O97" i="38"/>
  <c r="O40" i="8" l="1"/>
  <c r="O36" i="31" l="1"/>
  <c r="O35" i="15"/>
  <c r="O34" i="15"/>
  <c r="Q52" i="15"/>
  <c r="P52" i="15"/>
  <c r="O52" i="15"/>
  <c r="Q38" i="6"/>
  <c r="O38" i="6"/>
  <c r="O33" i="6"/>
  <c r="O34" i="11"/>
  <c r="M206" i="38"/>
  <c r="M205" i="38"/>
  <c r="M197" i="38"/>
  <c r="K97" i="38"/>
  <c r="M127" i="38"/>
  <c r="S23" i="26" l="1"/>
  <c r="S21" i="26"/>
  <c r="S20" i="26"/>
  <c r="S18" i="26"/>
  <c r="S17" i="26"/>
  <c r="S16" i="26"/>
  <c r="S15" i="26"/>
  <c r="S14" i="26"/>
  <c r="S12" i="26"/>
  <c r="S10" i="26"/>
  <c r="S20" i="27"/>
  <c r="S18" i="27"/>
  <c r="S17" i="27"/>
  <c r="S16" i="27"/>
  <c r="S15" i="27"/>
  <c r="S14" i="27"/>
  <c r="S13" i="27"/>
  <c r="S12" i="27"/>
  <c r="S11" i="27"/>
  <c r="S10" i="27"/>
  <c r="S8" i="27"/>
  <c r="S6" i="27"/>
  <c r="S5" i="27"/>
  <c r="V20" i="28"/>
  <c r="V18" i="28"/>
  <c r="V17" i="28"/>
  <c r="V15" i="28"/>
  <c r="V14" i="28"/>
  <c r="V12" i="28"/>
  <c r="V11" i="28"/>
  <c r="V10" i="28"/>
  <c r="V9" i="28"/>
  <c r="V7" i="28"/>
  <c r="V5" i="28"/>
  <c r="S23" i="29"/>
  <c r="S21" i="29"/>
  <c r="S20" i="29"/>
  <c r="S19" i="29"/>
  <c r="S18" i="29"/>
  <c r="S17" i="29"/>
  <c r="S16" i="29"/>
  <c r="S15" i="29"/>
  <c r="S14" i="29"/>
  <c r="S12" i="29"/>
  <c r="S10" i="29"/>
  <c r="O162" i="38" l="1"/>
  <c r="O223" i="38" s="1"/>
  <c r="N162" i="38"/>
  <c r="N223" i="38" s="1"/>
  <c r="S32" i="37" l="1"/>
  <c r="S30" i="37"/>
  <c r="S29" i="37"/>
  <c r="S28" i="37"/>
  <c r="S27" i="37"/>
  <c r="S23" i="37"/>
  <c r="S22" i="37"/>
  <c r="S21" i="37"/>
  <c r="S20" i="37"/>
  <c r="S18" i="37"/>
  <c r="S15" i="37"/>
  <c r="S24" i="31"/>
  <c r="S23" i="31"/>
  <c r="S22" i="31"/>
  <c r="S18" i="31"/>
  <c r="S17" i="31"/>
  <c r="S16" i="31"/>
  <c r="S15" i="31"/>
  <c r="S14" i="31"/>
  <c r="S13" i="31"/>
  <c r="S12" i="31"/>
  <c r="S10" i="31"/>
  <c r="S26" i="31"/>
  <c r="S15" i="32"/>
  <c r="S13" i="32"/>
  <c r="S12" i="32"/>
  <c r="S11" i="32"/>
  <c r="S10" i="32"/>
  <c r="S9" i="32"/>
  <c r="S7" i="32"/>
  <c r="S5" i="32"/>
  <c r="S30" i="33" l="1"/>
  <c r="S28" i="33"/>
  <c r="S27" i="33"/>
  <c r="S26" i="33"/>
  <c r="S25" i="33"/>
  <c r="S24" i="33"/>
  <c r="S23" i="33"/>
  <c r="S22" i="33"/>
  <c r="S21" i="33"/>
  <c r="S20" i="33"/>
  <c r="S18" i="33"/>
  <c r="S16" i="33"/>
  <c r="S15" i="33"/>
  <c r="S18" i="35"/>
  <c r="S16" i="35"/>
  <c r="S15" i="35"/>
  <c r="S14" i="35"/>
  <c r="S13" i="35"/>
  <c r="S12" i="35"/>
  <c r="S11" i="35"/>
  <c r="S10" i="35"/>
  <c r="S8" i="35"/>
  <c r="S5" i="35"/>
  <c r="P7" i="16" l="1"/>
  <c r="Q7" i="16" s="1"/>
  <c r="P13" i="19"/>
  <c r="Q13" i="19" s="1"/>
  <c r="P14" i="19"/>
  <c r="Q14" i="19" s="1"/>
  <c r="Q54" i="15"/>
  <c r="P54" i="15"/>
  <c r="O54" i="15"/>
  <c r="P11" i="31"/>
  <c r="Q11" i="31" s="1"/>
  <c r="S17" i="36" l="1"/>
  <c r="O17" i="36" s="1"/>
  <c r="P17" i="36" s="1"/>
  <c r="Q17" i="36" s="1"/>
  <c r="S13" i="36"/>
  <c r="O13" i="36" s="1"/>
  <c r="P13" i="36" s="1"/>
  <c r="Q13" i="36" s="1"/>
  <c r="S10" i="36"/>
  <c r="O10" i="36" s="1"/>
  <c r="P10" i="36" s="1"/>
  <c r="Q10" i="36" s="1"/>
  <c r="S7" i="36"/>
  <c r="O7" i="36" s="1"/>
  <c r="P7" i="36" s="1"/>
  <c r="Q7" i="36" s="1"/>
  <c r="S16" i="36"/>
  <c r="O16" i="36" s="1"/>
  <c r="P16" i="36" s="1"/>
  <c r="Q16" i="36" s="1"/>
  <c r="S12" i="36"/>
  <c r="O12" i="36" s="1"/>
  <c r="P12" i="36" s="1"/>
  <c r="Q12" i="36" s="1"/>
  <c r="S9" i="36"/>
  <c r="O9" i="36" s="1"/>
  <c r="P9" i="36" s="1"/>
  <c r="Q9" i="36" s="1"/>
  <c r="S6" i="36"/>
  <c r="O6" i="36" s="1"/>
  <c r="P6" i="36" s="1"/>
  <c r="Q6" i="36" s="1"/>
  <c r="S15" i="36"/>
  <c r="O15" i="36" s="1"/>
  <c r="P15" i="36" s="1"/>
  <c r="Q15" i="36" s="1"/>
  <c r="S11" i="36"/>
  <c r="O11" i="36" s="1"/>
  <c r="P11" i="36" s="1"/>
  <c r="Q11" i="36" s="1"/>
  <c r="S8" i="36"/>
  <c r="O8" i="36" s="1"/>
  <c r="P8" i="36" s="1"/>
  <c r="Q8" i="36" s="1"/>
  <c r="S5" i="36"/>
  <c r="O5" i="36" s="1"/>
  <c r="O45" i="1"/>
  <c r="P45" i="1" s="1"/>
  <c r="Q45" i="1" s="1"/>
  <c r="S52" i="1"/>
  <c r="O52" i="1" s="1"/>
  <c r="P52" i="1" s="1"/>
  <c r="Q52" i="1" s="1"/>
  <c r="S44" i="1"/>
  <c r="O44" i="1" s="1"/>
  <c r="P44" i="1" s="1"/>
  <c r="Q44" i="1" s="1"/>
  <c r="S43" i="1"/>
  <c r="O43" i="1" s="1"/>
  <c r="P43" i="1" s="1"/>
  <c r="Q43" i="1" s="1"/>
  <c r="S42" i="1"/>
  <c r="O42" i="1" s="1"/>
  <c r="P42" i="1" s="1"/>
  <c r="Q42" i="1" s="1"/>
  <c r="S41" i="1"/>
  <c r="O41" i="1" s="1"/>
  <c r="P41" i="1" s="1"/>
  <c r="Q41" i="1" s="1"/>
  <c r="S40" i="1"/>
  <c r="O40" i="1" s="1"/>
  <c r="P40" i="1" s="1"/>
  <c r="Q40" i="1" s="1"/>
  <c r="S39" i="1"/>
  <c r="O39" i="1" s="1"/>
  <c r="P39" i="1" s="1"/>
  <c r="Q39" i="1" s="1"/>
  <c r="S38" i="1"/>
  <c r="O38" i="1" s="1"/>
  <c r="P38" i="1" s="1"/>
  <c r="Q38" i="1" s="1"/>
  <c r="S51" i="1"/>
  <c r="O51" i="1" s="1"/>
  <c r="P51" i="1" s="1"/>
  <c r="Q51" i="1" s="1"/>
  <c r="S37" i="1"/>
  <c r="O37" i="1" s="1"/>
  <c r="P37" i="1" s="1"/>
  <c r="Q37" i="1" s="1"/>
  <c r="S36" i="1"/>
  <c r="O36" i="1" s="1"/>
  <c r="P36" i="1" s="1"/>
  <c r="Q36" i="1" s="1"/>
  <c r="S35" i="1"/>
  <c r="O35" i="1" s="1"/>
  <c r="P35" i="1" s="1"/>
  <c r="Q35" i="1" s="1"/>
  <c r="S34" i="1"/>
  <c r="O34" i="1" s="1"/>
  <c r="P34" i="1" s="1"/>
  <c r="Q34" i="1" s="1"/>
  <c r="S33" i="1"/>
  <c r="O33" i="1" s="1"/>
  <c r="P33" i="1" s="1"/>
  <c r="Q33" i="1" s="1"/>
  <c r="S32" i="1"/>
  <c r="O32" i="1" s="1"/>
  <c r="P32" i="1" s="1"/>
  <c r="Q32" i="1" s="1"/>
  <c r="S50" i="1"/>
  <c r="O50" i="1" s="1"/>
  <c r="P50" i="1" s="1"/>
  <c r="Q50" i="1" s="1"/>
  <c r="S31" i="1"/>
  <c r="O31" i="1" s="1"/>
  <c r="P31" i="1" s="1"/>
  <c r="Q31" i="1" s="1"/>
  <c r="S30" i="1"/>
  <c r="O30" i="1" s="1"/>
  <c r="P30" i="1" s="1"/>
  <c r="Q30" i="1" s="1"/>
  <c r="S29" i="1"/>
  <c r="O29" i="1" s="1"/>
  <c r="P29" i="1" s="1"/>
  <c r="Q29" i="1" s="1"/>
  <c r="S28" i="1"/>
  <c r="O28" i="1" s="1"/>
  <c r="P28" i="1" s="1"/>
  <c r="Q28" i="1" s="1"/>
  <c r="S27" i="1"/>
  <c r="O27" i="1" s="1"/>
  <c r="P27" i="1" s="1"/>
  <c r="Q27" i="1" s="1"/>
  <c r="S26" i="1"/>
  <c r="O26" i="1" s="1"/>
  <c r="P26" i="1" s="1"/>
  <c r="Q26" i="1" s="1"/>
  <c r="S25" i="1"/>
  <c r="O25" i="1" s="1"/>
  <c r="P25" i="1" s="1"/>
  <c r="Q25" i="1" s="1"/>
  <c r="S49" i="1"/>
  <c r="O49" i="1" s="1"/>
  <c r="P49" i="1" s="1"/>
  <c r="Q49" i="1" s="1"/>
  <c r="S24" i="1"/>
  <c r="O24" i="1" s="1"/>
  <c r="P24" i="1" s="1"/>
  <c r="Q24" i="1" s="1"/>
  <c r="S23" i="1"/>
  <c r="O23" i="1" s="1"/>
  <c r="P23" i="1" s="1"/>
  <c r="Q23" i="1" s="1"/>
  <c r="S22" i="1"/>
  <c r="O22" i="1" s="1"/>
  <c r="P22" i="1" s="1"/>
  <c r="Q22" i="1" s="1"/>
  <c r="S21" i="1"/>
  <c r="O21" i="1" s="1"/>
  <c r="P21" i="1" s="1"/>
  <c r="Q21" i="1" s="1"/>
  <c r="S20" i="1"/>
  <c r="O20" i="1" s="1"/>
  <c r="P20" i="1" s="1"/>
  <c r="Q20" i="1" s="1"/>
  <c r="S19" i="1"/>
  <c r="O19" i="1" s="1"/>
  <c r="P19" i="1" s="1"/>
  <c r="Q19" i="1" s="1"/>
  <c r="S18" i="1"/>
  <c r="O18" i="1" s="1"/>
  <c r="P18" i="1" s="1"/>
  <c r="Q18" i="1" s="1"/>
  <c r="S48" i="1"/>
  <c r="O48" i="1" s="1"/>
  <c r="P48" i="1" s="1"/>
  <c r="Q48" i="1" s="1"/>
  <c r="S17" i="1"/>
  <c r="O17" i="1" s="1"/>
  <c r="P17" i="1" s="1"/>
  <c r="Q17" i="1" s="1"/>
  <c r="S16" i="1"/>
  <c r="O16" i="1" s="1"/>
  <c r="P16" i="1" s="1"/>
  <c r="Q16" i="1" s="1"/>
  <c r="S15" i="1"/>
  <c r="O15" i="1" s="1"/>
  <c r="P15" i="1" s="1"/>
  <c r="Q15" i="1" s="1"/>
  <c r="S14" i="1"/>
  <c r="O14" i="1" s="1"/>
  <c r="P14" i="1" s="1"/>
  <c r="Q14" i="1" s="1"/>
  <c r="S13" i="1"/>
  <c r="O13" i="1" s="1"/>
  <c r="P13" i="1" s="1"/>
  <c r="Q13" i="1" s="1"/>
  <c r="S12" i="1"/>
  <c r="O12" i="1" s="1"/>
  <c r="P12" i="1" s="1"/>
  <c r="Q12" i="1" s="1"/>
  <c r="S47" i="1"/>
  <c r="O47" i="1" s="1"/>
  <c r="P47" i="1" s="1"/>
  <c r="Q47" i="1" s="1"/>
  <c r="P5" i="36" l="1"/>
  <c r="Q5" i="36" s="1"/>
  <c r="O55" i="36"/>
  <c r="S11" i="1"/>
  <c r="O11" i="1" s="1"/>
  <c r="P11" i="1" s="1"/>
  <c r="Q11" i="1" s="1"/>
  <c r="S10" i="1"/>
  <c r="O10" i="1" s="1"/>
  <c r="P10" i="1" s="1"/>
  <c r="Q10" i="1" s="1"/>
  <c r="S9" i="1"/>
  <c r="O9" i="1" s="1"/>
  <c r="P9" i="1" s="1"/>
  <c r="Q9" i="1" s="1"/>
  <c r="S8" i="1"/>
  <c r="O8" i="1" s="1"/>
  <c r="P8" i="1" s="1"/>
  <c r="Q8" i="1" s="1"/>
  <c r="S7" i="1"/>
  <c r="O7" i="1" s="1"/>
  <c r="P7" i="1" s="1"/>
  <c r="Q7" i="1" s="1"/>
  <c r="S6" i="1"/>
  <c r="O6" i="1" s="1"/>
  <c r="P6" i="1" s="1"/>
  <c r="Q6" i="1" s="1"/>
  <c r="S5" i="1"/>
  <c r="O5" i="1" s="1"/>
  <c r="P9" i="3"/>
  <c r="Q9" i="3" s="1"/>
  <c r="O6" i="3"/>
  <c r="P6" i="3" s="1"/>
  <c r="Q6" i="3" s="1"/>
  <c r="O7" i="3"/>
  <c r="P7" i="3" s="1"/>
  <c r="Q7" i="3" s="1"/>
  <c r="O8" i="3"/>
  <c r="P8" i="3" s="1"/>
  <c r="Q8" i="3" s="1"/>
  <c r="O11" i="3"/>
  <c r="P11" i="3" s="1"/>
  <c r="Q11" i="3" s="1"/>
  <c r="O20" i="3"/>
  <c r="P20" i="3" s="1"/>
  <c r="Q20" i="3" s="1"/>
  <c r="O25" i="3"/>
  <c r="P25" i="3" s="1"/>
  <c r="Q25" i="3" s="1"/>
  <c r="S26" i="3"/>
  <c r="O26" i="3" s="1"/>
  <c r="P26" i="3" s="1"/>
  <c r="Q26" i="3" s="1"/>
  <c r="S23" i="3"/>
  <c r="O23" i="3" s="1"/>
  <c r="P23" i="3" s="1"/>
  <c r="Q23" i="3" s="1"/>
  <c r="S22" i="3"/>
  <c r="O22" i="3" s="1"/>
  <c r="P22" i="3" s="1"/>
  <c r="Q22" i="3" s="1"/>
  <c r="S21" i="3"/>
  <c r="O21" i="3" s="1"/>
  <c r="P21" i="3" s="1"/>
  <c r="Q21" i="3" s="1"/>
  <c r="S19" i="3"/>
  <c r="O19" i="3" s="1"/>
  <c r="P19" i="3" s="1"/>
  <c r="Q19" i="3" s="1"/>
  <c r="S18" i="3"/>
  <c r="O18" i="3" s="1"/>
  <c r="P18" i="3" s="1"/>
  <c r="Q18" i="3" s="1"/>
  <c r="S16" i="3"/>
  <c r="O16" i="3" s="1"/>
  <c r="P16" i="3" s="1"/>
  <c r="Q16" i="3" s="1"/>
  <c r="S15" i="3"/>
  <c r="O15" i="3" s="1"/>
  <c r="P15" i="3" s="1"/>
  <c r="Q15" i="3" s="1"/>
  <c r="S14" i="3"/>
  <c r="O14" i="3" s="1"/>
  <c r="P14" i="3" s="1"/>
  <c r="Q14" i="3" s="1"/>
  <c r="S13" i="3"/>
  <c r="O13" i="3" s="1"/>
  <c r="P13" i="3" s="1"/>
  <c r="Q13" i="3" s="1"/>
  <c r="O12" i="3"/>
  <c r="P12" i="3" s="1"/>
  <c r="Q12" i="3" s="1"/>
  <c r="S10" i="3"/>
  <c r="O10" i="3" s="1"/>
  <c r="P10" i="3" s="1"/>
  <c r="Q10" i="3" s="1"/>
  <c r="S5" i="3"/>
  <c r="O5" i="3" s="1"/>
  <c r="P5" i="3" s="1"/>
  <c r="Q5" i="3" s="1"/>
  <c r="O6" i="4"/>
  <c r="P6" i="4" s="1"/>
  <c r="Q6" i="4" s="1"/>
  <c r="O7" i="4"/>
  <c r="P7" i="4" s="1"/>
  <c r="Q7" i="4" s="1"/>
  <c r="O16" i="4"/>
  <c r="P16" i="4" s="1"/>
  <c r="Q16" i="4" s="1"/>
  <c r="O18" i="4"/>
  <c r="P18" i="4" s="1"/>
  <c r="Q18" i="4" s="1"/>
  <c r="S19" i="4"/>
  <c r="O19" i="4" s="1"/>
  <c r="P19" i="4" s="1"/>
  <c r="Q19" i="4" s="1"/>
  <c r="S15" i="4"/>
  <c r="O15" i="4" s="1"/>
  <c r="P15" i="4" s="1"/>
  <c r="Q15" i="4" s="1"/>
  <c r="S14" i="4"/>
  <c r="O14" i="4" s="1"/>
  <c r="P14" i="4" s="1"/>
  <c r="Q14" i="4" s="1"/>
  <c r="S13" i="4"/>
  <c r="O13" i="4" s="1"/>
  <c r="P13" i="4" s="1"/>
  <c r="Q13" i="4" s="1"/>
  <c r="S12" i="4"/>
  <c r="O12" i="4" s="1"/>
  <c r="P12" i="4" s="1"/>
  <c r="Q12" i="4" s="1"/>
  <c r="S11" i="4"/>
  <c r="O11" i="4" s="1"/>
  <c r="P11" i="4" s="1"/>
  <c r="Q11" i="4" s="1"/>
  <c r="S10" i="4"/>
  <c r="O10" i="4" s="1"/>
  <c r="P10" i="4" s="1"/>
  <c r="Q10" i="4" s="1"/>
  <c r="S9" i="4"/>
  <c r="O9" i="4" s="1"/>
  <c r="P9" i="4" s="1"/>
  <c r="Q9" i="4" s="1"/>
  <c r="S8" i="4"/>
  <c r="O8" i="4" s="1"/>
  <c r="P8" i="4" s="1"/>
  <c r="Q8" i="4" s="1"/>
  <c r="S5" i="4"/>
  <c r="O5" i="4" s="1"/>
  <c r="P5" i="4" s="1"/>
  <c r="Q5" i="4" s="1"/>
  <c r="P7" i="5"/>
  <c r="Q7" i="5" s="1"/>
  <c r="P17" i="5"/>
  <c r="Q17" i="5" s="1"/>
  <c r="O6" i="5"/>
  <c r="P6" i="5" s="1"/>
  <c r="Q6" i="5" s="1"/>
  <c r="S19" i="5"/>
  <c r="O19" i="5" s="1"/>
  <c r="P19" i="5" s="1"/>
  <c r="Q19" i="5" s="1"/>
  <c r="S16" i="5"/>
  <c r="O16" i="5" s="1"/>
  <c r="P16" i="5" s="1"/>
  <c r="Q16" i="5" s="1"/>
  <c r="S15" i="5"/>
  <c r="O15" i="5" s="1"/>
  <c r="P15" i="5" s="1"/>
  <c r="Q15" i="5" s="1"/>
  <c r="S14" i="5"/>
  <c r="O14" i="5" s="1"/>
  <c r="P14" i="5" s="1"/>
  <c r="Q14" i="5" s="1"/>
  <c r="S13" i="5"/>
  <c r="O13" i="5" s="1"/>
  <c r="P13" i="5" s="1"/>
  <c r="Q13" i="5" s="1"/>
  <c r="S12" i="5"/>
  <c r="O12" i="5" s="1"/>
  <c r="P12" i="5" s="1"/>
  <c r="Q12" i="5" s="1"/>
  <c r="S11" i="5"/>
  <c r="O11" i="5" s="1"/>
  <c r="P11" i="5" s="1"/>
  <c r="Q11" i="5" s="1"/>
  <c r="S10" i="5"/>
  <c r="O10" i="5" s="1"/>
  <c r="P10" i="5" s="1"/>
  <c r="Q10" i="5" s="1"/>
  <c r="O9" i="5"/>
  <c r="P9" i="5" s="1"/>
  <c r="Q9" i="5" s="1"/>
  <c r="S8" i="5"/>
  <c r="O8" i="5" s="1"/>
  <c r="P8" i="5" s="1"/>
  <c r="Q8" i="5" s="1"/>
  <c r="S5" i="5"/>
  <c r="O5" i="5" s="1"/>
  <c r="O11" i="6"/>
  <c r="P11" i="6" s="1"/>
  <c r="Q11" i="6" s="1"/>
  <c r="O14" i="6"/>
  <c r="P14" i="6" s="1"/>
  <c r="Q14" i="6" s="1"/>
  <c r="S23" i="6"/>
  <c r="O23" i="6" s="1"/>
  <c r="P23" i="6" s="1"/>
  <c r="Q23" i="6" s="1"/>
  <c r="S21" i="6"/>
  <c r="O21" i="6" s="1"/>
  <c r="P21" i="6" s="1"/>
  <c r="Q21" i="6" s="1"/>
  <c r="S20" i="6"/>
  <c r="O20" i="6" s="1"/>
  <c r="P20" i="6" s="1"/>
  <c r="Q20" i="6" s="1"/>
  <c r="S19" i="6"/>
  <c r="O19" i="6" s="1"/>
  <c r="P19" i="6" s="1"/>
  <c r="Q19" i="6" s="1"/>
  <c r="S18" i="6"/>
  <c r="O18" i="6" s="1"/>
  <c r="P18" i="6" s="1"/>
  <c r="Q18" i="6" s="1"/>
  <c r="S17" i="6"/>
  <c r="O17" i="6" s="1"/>
  <c r="P17" i="6" s="1"/>
  <c r="Q17" i="6" s="1"/>
  <c r="S16" i="6"/>
  <c r="O16" i="6" s="1"/>
  <c r="P16" i="6" s="1"/>
  <c r="Q16" i="6" s="1"/>
  <c r="S15" i="6"/>
  <c r="O15" i="6" s="1"/>
  <c r="P15" i="6" s="1"/>
  <c r="Q15" i="6" s="1"/>
  <c r="O13" i="6"/>
  <c r="P13" i="6" s="1"/>
  <c r="Q13" i="6" s="1"/>
  <c r="S12" i="6"/>
  <c r="O12" i="6" s="1"/>
  <c r="P12" i="6" s="1"/>
  <c r="Q12" i="6" s="1"/>
  <c r="S10" i="6"/>
  <c r="O10" i="6" s="1"/>
  <c r="O33" i="5" l="1"/>
  <c r="P10" i="6"/>
  <c r="Q10" i="6" s="1"/>
  <c r="Q43" i="6" s="1"/>
  <c r="O43" i="6"/>
  <c r="P5" i="5"/>
  <c r="P5" i="1"/>
  <c r="O98" i="1"/>
  <c r="O36" i="4"/>
  <c r="Q36" i="4"/>
  <c r="P36" i="4"/>
  <c r="P43" i="6" l="1"/>
  <c r="Q5" i="1"/>
  <c r="Q98" i="1" s="1"/>
  <c r="P98" i="1"/>
  <c r="P33" i="5"/>
  <c r="Q5" i="5"/>
  <c r="Q33" i="5" s="1"/>
  <c r="P6" i="7"/>
  <c r="Q6" i="7" s="1"/>
  <c r="O14" i="7"/>
  <c r="P14" i="7" s="1"/>
  <c r="Q14" i="7" s="1"/>
  <c r="S17" i="7"/>
  <c r="O17" i="7" s="1"/>
  <c r="P17" i="7" s="1"/>
  <c r="Q17" i="7" s="1"/>
  <c r="S15" i="7"/>
  <c r="O15" i="7" s="1"/>
  <c r="P15" i="7" s="1"/>
  <c r="Q15" i="7" s="1"/>
  <c r="S13" i="7"/>
  <c r="O13" i="7" s="1"/>
  <c r="P13" i="7" s="1"/>
  <c r="Q13" i="7" s="1"/>
  <c r="S12" i="7"/>
  <c r="O12" i="7" s="1"/>
  <c r="P12" i="7" s="1"/>
  <c r="Q12" i="7" s="1"/>
  <c r="S11" i="7"/>
  <c r="O11" i="7" s="1"/>
  <c r="P11" i="7" s="1"/>
  <c r="Q11" i="7" s="1"/>
  <c r="S10" i="7"/>
  <c r="O10" i="7" s="1"/>
  <c r="P10" i="7" s="1"/>
  <c r="Q10" i="7" s="1"/>
  <c r="S9" i="7"/>
  <c r="O9" i="7" s="1"/>
  <c r="P9" i="7" s="1"/>
  <c r="Q9" i="7" s="1"/>
  <c r="S8" i="7"/>
  <c r="O8" i="7" s="1"/>
  <c r="P8" i="7" s="1"/>
  <c r="Q8" i="7" s="1"/>
  <c r="S7" i="7"/>
  <c r="O7" i="7" s="1"/>
  <c r="P7" i="7" s="1"/>
  <c r="Q7" i="7" s="1"/>
  <c r="S5" i="7"/>
  <c r="O5" i="7" s="1"/>
  <c r="P5" i="7" s="1"/>
  <c r="Q5" i="7" s="1"/>
  <c r="S24" i="8"/>
  <c r="O24" i="8" s="1"/>
  <c r="P24" i="8" s="1"/>
  <c r="Q24" i="8" s="1"/>
  <c r="S29" i="8"/>
  <c r="O29" i="8" s="1"/>
  <c r="P29" i="8" s="1"/>
  <c r="Q29" i="8" s="1"/>
  <c r="S25" i="8"/>
  <c r="O25" i="8" s="1"/>
  <c r="P25" i="8" s="1"/>
  <c r="Q25" i="8" s="1"/>
  <c r="S23" i="8"/>
  <c r="O23" i="8" s="1"/>
  <c r="P23" i="8" s="1"/>
  <c r="Q23" i="8" s="1"/>
  <c r="O17" i="8"/>
  <c r="P17" i="8" s="1"/>
  <c r="Q17" i="8" s="1"/>
  <c r="S27" i="8"/>
  <c r="O27" i="8" s="1"/>
  <c r="P27" i="8" s="1"/>
  <c r="Q27" i="8" s="1"/>
  <c r="S26" i="8"/>
  <c r="O26" i="8" s="1"/>
  <c r="P26" i="8" s="1"/>
  <c r="Q26" i="8" s="1"/>
  <c r="S22" i="8"/>
  <c r="O22" i="8" s="1"/>
  <c r="P22" i="8" s="1"/>
  <c r="Q22" i="8" s="1"/>
  <c r="S21" i="8"/>
  <c r="O21" i="8" s="1"/>
  <c r="P21" i="8" s="1"/>
  <c r="Q21" i="8" s="1"/>
  <c r="S20" i="8"/>
  <c r="O20" i="8" s="1"/>
  <c r="P20" i="8" s="1"/>
  <c r="Q20" i="8" s="1"/>
  <c r="S19" i="8"/>
  <c r="O19" i="8" s="1"/>
  <c r="P19" i="8" s="1"/>
  <c r="Q19" i="8" s="1"/>
  <c r="S18" i="8"/>
  <c r="O18" i="8" s="1"/>
  <c r="P18" i="8" s="1"/>
  <c r="Q18" i="8" s="1"/>
  <c r="S16" i="8"/>
  <c r="O16" i="8" s="1"/>
  <c r="P16" i="8" s="1"/>
  <c r="Q16" i="8" s="1"/>
  <c r="S11" i="8"/>
  <c r="O11" i="8" s="1"/>
  <c r="P11" i="8" s="1"/>
  <c r="Q11" i="8" s="1"/>
  <c r="O7" i="9" l="1"/>
  <c r="P7" i="9" s="1"/>
  <c r="Q7" i="9" s="1"/>
  <c r="O8" i="9"/>
  <c r="P8" i="9" s="1"/>
  <c r="Q8" i="9" s="1"/>
  <c r="O10" i="9"/>
  <c r="P10" i="9" s="1"/>
  <c r="Q10" i="9" s="1"/>
  <c r="O15" i="9"/>
  <c r="P15" i="9" s="1"/>
  <c r="Q15" i="9" s="1"/>
  <c r="S20" i="9"/>
  <c r="O20" i="9" s="1"/>
  <c r="P20" i="9" s="1"/>
  <c r="Q20" i="9" s="1"/>
  <c r="S17" i="9"/>
  <c r="O17" i="9" s="1"/>
  <c r="P17" i="9" s="1"/>
  <c r="Q17" i="9" s="1"/>
  <c r="S18" i="9"/>
  <c r="O18" i="9" s="1"/>
  <c r="P18" i="9" s="1"/>
  <c r="Q18" i="9" s="1"/>
  <c r="S16" i="9"/>
  <c r="O16" i="9" s="1"/>
  <c r="P16" i="9" s="1"/>
  <c r="Q16" i="9" s="1"/>
  <c r="S14" i="9"/>
  <c r="O14" i="9" s="1"/>
  <c r="P14" i="9" s="1"/>
  <c r="Q14" i="9" s="1"/>
  <c r="S13" i="9"/>
  <c r="O13" i="9" s="1"/>
  <c r="P13" i="9" s="1"/>
  <c r="Q13" i="9" s="1"/>
  <c r="S12" i="9"/>
  <c r="O12" i="9" s="1"/>
  <c r="P12" i="9" s="1"/>
  <c r="Q12" i="9" s="1"/>
  <c r="S11" i="9"/>
  <c r="O11" i="9" s="1"/>
  <c r="P11" i="9" s="1"/>
  <c r="Q11" i="9" s="1"/>
  <c r="S9" i="9"/>
  <c r="O9" i="9" s="1"/>
  <c r="P9" i="9" s="1"/>
  <c r="Q9" i="9" s="1"/>
  <c r="S6" i="9"/>
  <c r="O6" i="9" s="1"/>
  <c r="P6" i="9" s="1"/>
  <c r="Q6" i="9" s="1"/>
  <c r="P7" i="10" l="1"/>
  <c r="Q7" i="10" s="1"/>
  <c r="O6" i="10"/>
  <c r="P6" i="10" s="1"/>
  <c r="Q6" i="10" s="1"/>
  <c r="O14" i="10"/>
  <c r="P14" i="10" s="1"/>
  <c r="Q14" i="10" s="1"/>
  <c r="O15" i="10"/>
  <c r="P15" i="10" s="1"/>
  <c r="Q15" i="10" s="1"/>
  <c r="O17" i="10"/>
  <c r="P17" i="10" s="1"/>
  <c r="Q17" i="10" s="1"/>
  <c r="S22" i="10"/>
  <c r="O22" i="10" s="1"/>
  <c r="P22" i="10" s="1"/>
  <c r="Q22" i="10" s="1"/>
  <c r="S20" i="10"/>
  <c r="O20" i="10" s="1"/>
  <c r="P20" i="10" s="1"/>
  <c r="Q20" i="10" s="1"/>
  <c r="S19" i="10"/>
  <c r="O19" i="10" s="1"/>
  <c r="P19" i="10" s="1"/>
  <c r="Q19" i="10" s="1"/>
  <c r="S18" i="10"/>
  <c r="O18" i="10" s="1"/>
  <c r="P18" i="10" s="1"/>
  <c r="Q18" i="10" s="1"/>
  <c r="S16" i="10"/>
  <c r="O16" i="10" s="1"/>
  <c r="P16" i="10" s="1"/>
  <c r="Q16" i="10" s="1"/>
  <c r="S13" i="10"/>
  <c r="O13" i="10" s="1"/>
  <c r="P13" i="10" s="1"/>
  <c r="Q13" i="10" s="1"/>
  <c r="S12" i="10"/>
  <c r="O12" i="10" s="1"/>
  <c r="P12" i="10" s="1"/>
  <c r="Q12" i="10" s="1"/>
  <c r="S11" i="10"/>
  <c r="O11" i="10" s="1"/>
  <c r="P11" i="10" s="1"/>
  <c r="Q11" i="10" s="1"/>
  <c r="S10" i="10"/>
  <c r="O10" i="10" s="1"/>
  <c r="P10" i="10" s="1"/>
  <c r="Q10" i="10" s="1"/>
  <c r="O9" i="10"/>
  <c r="P9" i="10" s="1"/>
  <c r="Q9" i="10" s="1"/>
  <c r="S8" i="10"/>
  <c r="O8" i="10" s="1"/>
  <c r="P8" i="10" s="1"/>
  <c r="Q8" i="10" s="1"/>
  <c r="S5" i="10"/>
  <c r="O5" i="10" s="1"/>
  <c r="P5" i="10" s="1"/>
  <c r="Q5" i="10" s="1"/>
  <c r="P14" i="11"/>
  <c r="Q14" i="11" s="1"/>
  <c r="S25" i="11"/>
  <c r="O25" i="11" s="1"/>
  <c r="P25" i="11" s="1"/>
  <c r="Q25" i="11" s="1"/>
  <c r="S23" i="11"/>
  <c r="O23" i="11" s="1"/>
  <c r="P23" i="11" s="1"/>
  <c r="Q23" i="11" s="1"/>
  <c r="S22" i="11"/>
  <c r="O22" i="11" s="1"/>
  <c r="P22" i="11" s="1"/>
  <c r="Q22" i="11" s="1"/>
  <c r="S21" i="11"/>
  <c r="O21" i="11" s="1"/>
  <c r="P21" i="11" s="1"/>
  <c r="Q21" i="11" s="1"/>
  <c r="S20" i="11"/>
  <c r="O20" i="11" s="1"/>
  <c r="P20" i="11" s="1"/>
  <c r="Q20" i="11" s="1"/>
  <c r="S19" i="11"/>
  <c r="O19" i="11" s="1"/>
  <c r="P19" i="11" s="1"/>
  <c r="Q19" i="11" s="1"/>
  <c r="S18" i="11"/>
  <c r="O18" i="11" s="1"/>
  <c r="P18" i="11" s="1"/>
  <c r="Q18" i="11" s="1"/>
  <c r="S17" i="11"/>
  <c r="O17" i="11" s="1"/>
  <c r="P17" i="11" s="1"/>
  <c r="Q17" i="11" s="1"/>
  <c r="O16" i="11"/>
  <c r="P16" i="11" s="1"/>
  <c r="Q16" i="11" s="1"/>
  <c r="S15" i="11"/>
  <c r="O15" i="11" s="1"/>
  <c r="P15" i="11" s="1"/>
  <c r="Q15" i="11" s="1"/>
  <c r="S13" i="11"/>
  <c r="O13" i="11" s="1"/>
  <c r="P13" i="11" s="1"/>
  <c r="Q13" i="11" s="1"/>
  <c r="P7" i="14" l="1"/>
  <c r="Q7" i="14" s="1"/>
  <c r="O6" i="14"/>
  <c r="P6" i="14" s="1"/>
  <c r="Q6" i="14" s="1"/>
  <c r="S15" i="14"/>
  <c r="O15" i="14" s="1"/>
  <c r="P15" i="14" s="1"/>
  <c r="Q15" i="14" s="1"/>
  <c r="S11" i="14"/>
  <c r="O11" i="14" s="1"/>
  <c r="P11" i="14" s="1"/>
  <c r="Q11" i="14" s="1"/>
  <c r="O9" i="14"/>
  <c r="P9" i="14" s="1"/>
  <c r="Q9" i="14" s="1"/>
  <c r="P12" i="13" l="1"/>
  <c r="Q12" i="13" s="1"/>
  <c r="O11" i="13"/>
  <c r="P11" i="13" s="1"/>
  <c r="Q11" i="13" s="1"/>
  <c r="S22" i="13"/>
  <c r="O22" i="13" s="1"/>
  <c r="P22" i="13" s="1"/>
  <c r="Q22" i="13" s="1"/>
  <c r="O20" i="13"/>
  <c r="P20" i="13" s="1"/>
  <c r="Q20" i="13" s="1"/>
  <c r="S19" i="13"/>
  <c r="O19" i="13" s="1"/>
  <c r="P19" i="13" s="1"/>
  <c r="Q19" i="13" s="1"/>
  <c r="S18" i="13"/>
  <c r="O18" i="13" s="1"/>
  <c r="P18" i="13" s="1"/>
  <c r="Q18" i="13" s="1"/>
  <c r="S15" i="13"/>
  <c r="O15" i="13" s="1"/>
  <c r="P15" i="13" s="1"/>
  <c r="Q15" i="13" s="1"/>
  <c r="O57" i="15"/>
  <c r="P57" i="15" s="1"/>
  <c r="Q57" i="15" s="1"/>
  <c r="S69" i="15"/>
  <c r="O69" i="15" s="1"/>
  <c r="P69" i="15" s="1"/>
  <c r="Q69" i="15" s="1"/>
  <c r="S66" i="15"/>
  <c r="O66" i="15" s="1"/>
  <c r="P66" i="15" s="1"/>
  <c r="Q66" i="15" s="1"/>
  <c r="S62" i="15"/>
  <c r="O62" i="15" s="1"/>
  <c r="P62" i="15" s="1"/>
  <c r="Q62" i="15" s="1"/>
  <c r="O60" i="15"/>
  <c r="P60" i="15" s="1"/>
  <c r="Q60" i="15" s="1"/>
  <c r="O6" i="16" l="1"/>
  <c r="P6" i="16" s="1"/>
  <c r="Q6" i="16" s="1"/>
  <c r="O13" i="16"/>
  <c r="P13" i="16" s="1"/>
  <c r="Q13" i="16" s="1"/>
  <c r="S15" i="16"/>
  <c r="O15" i="16" s="1"/>
  <c r="P15" i="16" s="1"/>
  <c r="Q15" i="16" s="1"/>
  <c r="S10" i="16"/>
  <c r="O10" i="16" s="1"/>
  <c r="P10" i="16" s="1"/>
  <c r="Q10" i="16" s="1"/>
  <c r="P13" i="17"/>
  <c r="Q13" i="17" s="1"/>
  <c r="P14" i="17"/>
  <c r="Q14" i="17" s="1"/>
  <c r="O12" i="17"/>
  <c r="P12" i="17" s="1"/>
  <c r="Q12" i="17" s="1"/>
  <c r="O26" i="17"/>
  <c r="P26" i="17" s="1"/>
  <c r="Q26" i="17" s="1"/>
  <c r="O23" i="17"/>
  <c r="P23" i="17" s="1"/>
  <c r="Q23" i="17" s="1"/>
  <c r="S21" i="17"/>
  <c r="O21" i="17" s="1"/>
  <c r="P21" i="17" s="1"/>
  <c r="Q21" i="17" s="1"/>
  <c r="S17" i="17"/>
  <c r="O17" i="17" s="1"/>
  <c r="P17" i="17" s="1"/>
  <c r="Q17" i="17" s="1"/>
  <c r="S11" i="17"/>
  <c r="O11" i="17" s="1"/>
  <c r="P11" i="17" s="1"/>
  <c r="Q11" i="17" s="1"/>
  <c r="S10" i="17"/>
  <c r="O10" i="17" s="1"/>
  <c r="P10" i="17" s="1"/>
  <c r="Q10" i="17" s="1"/>
  <c r="S22" i="17" l="1"/>
  <c r="O22" i="17" s="1"/>
  <c r="P22" i="17" s="1"/>
  <c r="Q22" i="17" s="1"/>
  <c r="S14" i="21"/>
  <c r="O14" i="21" s="1"/>
  <c r="P14" i="21" s="1"/>
  <c r="Q14" i="21" s="1"/>
  <c r="S10" i="21"/>
  <c r="O10" i="21" s="1"/>
  <c r="P10" i="21" s="1"/>
  <c r="Q10" i="21" s="1"/>
  <c r="O7" i="21"/>
  <c r="P7" i="21" s="1"/>
  <c r="Q7" i="21" s="1"/>
  <c r="O6" i="18"/>
  <c r="P6" i="18" s="1"/>
  <c r="Q6" i="18" s="1"/>
  <c r="S13" i="18"/>
  <c r="O13" i="18" s="1"/>
  <c r="P13" i="18" s="1"/>
  <c r="Q13" i="18" s="1"/>
  <c r="S10" i="18"/>
  <c r="O10" i="18" s="1"/>
  <c r="P10" i="18" s="1"/>
  <c r="Q10" i="18" s="1"/>
  <c r="O8" i="18"/>
  <c r="P8" i="18" s="1"/>
  <c r="Q8" i="18" s="1"/>
  <c r="O22" i="19"/>
  <c r="P22" i="19" s="1"/>
  <c r="Q22" i="19" s="1"/>
  <c r="O24" i="19"/>
  <c r="P24" i="19" s="1"/>
  <c r="Q24" i="19" s="1"/>
  <c r="S21" i="19"/>
  <c r="O21" i="19" s="1"/>
  <c r="P21" i="19" s="1"/>
  <c r="Q21" i="19" s="1"/>
  <c r="S18" i="19"/>
  <c r="O18" i="19" s="1"/>
  <c r="P18" i="19" s="1"/>
  <c r="Q18" i="19" s="1"/>
  <c r="O16" i="19"/>
  <c r="P16" i="19" s="1"/>
  <c r="Q16" i="19" s="1"/>
  <c r="S25" i="20"/>
  <c r="O25" i="20" s="1"/>
  <c r="P25" i="20" s="1"/>
  <c r="Q25" i="20" s="1"/>
  <c r="S23" i="20"/>
  <c r="O23" i="20" s="1"/>
  <c r="P23" i="20" s="1"/>
  <c r="Q23" i="20" s="1"/>
  <c r="S19" i="20"/>
  <c r="O19" i="20" s="1"/>
  <c r="P19" i="20" s="1"/>
  <c r="Q19" i="20" s="1"/>
  <c r="O17" i="20"/>
  <c r="P17" i="20" s="1"/>
  <c r="Q17" i="20" s="1"/>
  <c r="P11" i="22"/>
  <c r="Q11" i="22" s="1"/>
  <c r="O17" i="22"/>
  <c r="P17" i="22" s="1"/>
  <c r="Q17" i="22" s="1"/>
  <c r="O19" i="22"/>
  <c r="P19" i="22" s="1"/>
  <c r="Q19" i="22" s="1"/>
  <c r="S16" i="22"/>
  <c r="O16" i="22" s="1"/>
  <c r="P16" i="22" s="1"/>
  <c r="Q16" i="22" s="1"/>
  <c r="S15" i="22"/>
  <c r="O15" i="22" s="1"/>
  <c r="P15" i="22" s="1"/>
  <c r="Q15" i="22" s="1"/>
  <c r="O13" i="22"/>
  <c r="P13" i="22" s="1"/>
  <c r="Q13" i="22" s="1"/>
  <c r="P11" i="23"/>
  <c r="Q11" i="23" s="1"/>
  <c r="O13" i="23"/>
  <c r="P13" i="23" s="1"/>
  <c r="Q13" i="23" s="1"/>
  <c r="O17" i="23"/>
  <c r="P17" i="23" s="1"/>
  <c r="Q17" i="23" s="1"/>
  <c r="O18" i="23"/>
  <c r="P18" i="23" s="1"/>
  <c r="Q18" i="23" s="1"/>
  <c r="S20" i="23"/>
  <c r="O20" i="23" s="1"/>
  <c r="P20" i="23" s="1"/>
  <c r="Q20" i="23" s="1"/>
  <c r="S16" i="23"/>
  <c r="O16" i="23" s="1"/>
  <c r="P16" i="23" s="1"/>
  <c r="Q16" i="23" s="1"/>
  <c r="P16" i="24"/>
  <c r="Q16" i="24" s="1"/>
  <c r="O18" i="24"/>
  <c r="P18" i="24" s="1"/>
  <c r="Q18" i="24" s="1"/>
  <c r="O21" i="24"/>
  <c r="P21" i="24" s="1"/>
  <c r="Q21" i="24" s="1"/>
  <c r="O22" i="24"/>
  <c r="P22" i="24" s="1"/>
  <c r="Q22" i="24" s="1"/>
  <c r="O24" i="24"/>
  <c r="P24" i="24" s="1"/>
  <c r="Q24" i="24" s="1"/>
  <c r="S26" i="24"/>
  <c r="O26" i="24" s="1"/>
  <c r="P26" i="24" s="1"/>
  <c r="Q26" i="24" s="1"/>
  <c r="S23" i="24"/>
  <c r="O23" i="24" s="1"/>
  <c r="P23" i="24" s="1"/>
  <c r="Q23" i="24" s="1"/>
  <c r="S20" i="24"/>
  <c r="O20" i="24" s="1"/>
  <c r="P20" i="24" s="1"/>
  <c r="Q20" i="24" s="1"/>
  <c r="O6" i="25" l="1"/>
  <c r="P6" i="25" s="1"/>
  <c r="Q6" i="25" s="1"/>
  <c r="O9" i="25"/>
  <c r="P9" i="25" s="1"/>
  <c r="Q9" i="25" s="1"/>
  <c r="O12" i="25"/>
  <c r="P12" i="25" s="1"/>
  <c r="Q12" i="25" s="1"/>
  <c r="S11" i="25"/>
  <c r="O11" i="25" s="1"/>
  <c r="P11" i="25" s="1"/>
  <c r="Q11" i="25" s="1"/>
  <c r="S17" i="3" l="1"/>
  <c r="O17" i="3" s="1"/>
  <c r="P17" i="3" l="1"/>
  <c r="O39" i="3"/>
  <c r="Q17" i="3" l="1"/>
  <c r="Q39" i="3" s="1"/>
  <c r="P39" i="3"/>
  <c r="P11" i="26" l="1"/>
  <c r="Q11" i="26" s="1"/>
  <c r="O12" i="26"/>
  <c r="P12" i="26" s="1"/>
  <c r="Q12" i="26" s="1"/>
  <c r="O14" i="26"/>
  <c r="P14" i="26" s="1"/>
  <c r="Q14" i="26" s="1"/>
  <c r="O15" i="26"/>
  <c r="P15" i="26" s="1"/>
  <c r="Q15" i="26" s="1"/>
  <c r="O16" i="26"/>
  <c r="P16" i="26" s="1"/>
  <c r="Q16" i="26" s="1"/>
  <c r="O17" i="26"/>
  <c r="P17" i="26" s="1"/>
  <c r="Q17" i="26" s="1"/>
  <c r="O18" i="26"/>
  <c r="P18" i="26" s="1"/>
  <c r="Q18" i="26" s="1"/>
  <c r="O19" i="26"/>
  <c r="P19" i="26" s="1"/>
  <c r="Q19" i="26" s="1"/>
  <c r="O20" i="26"/>
  <c r="P20" i="26" s="1"/>
  <c r="Q20" i="26" s="1"/>
  <c r="O21" i="26"/>
  <c r="P21" i="26" s="1"/>
  <c r="Q21" i="26" s="1"/>
  <c r="O23" i="26"/>
  <c r="P23" i="26" s="1"/>
  <c r="Q23" i="26" s="1"/>
  <c r="O10" i="26"/>
  <c r="P10" i="26" s="1"/>
  <c r="Q10" i="26" s="1"/>
  <c r="P7" i="27" l="1"/>
  <c r="Q7" i="27" s="1"/>
  <c r="O6" i="27"/>
  <c r="P6" i="27" s="1"/>
  <c r="Q6" i="27" s="1"/>
  <c r="O8" i="27"/>
  <c r="P8" i="27" s="1"/>
  <c r="Q8" i="27" s="1"/>
  <c r="O9" i="27"/>
  <c r="P9" i="27" s="1"/>
  <c r="Q9" i="27" s="1"/>
  <c r="O10" i="27"/>
  <c r="P10" i="27" s="1"/>
  <c r="Q10" i="27" s="1"/>
  <c r="O11" i="27"/>
  <c r="P11" i="27" s="1"/>
  <c r="Q11" i="27" s="1"/>
  <c r="O12" i="27"/>
  <c r="P12" i="27" s="1"/>
  <c r="Q12" i="27" s="1"/>
  <c r="O13" i="27"/>
  <c r="P13" i="27" s="1"/>
  <c r="Q13" i="27" s="1"/>
  <c r="O14" i="27"/>
  <c r="P14" i="27" s="1"/>
  <c r="Q14" i="27" s="1"/>
  <c r="O15" i="27"/>
  <c r="P15" i="27" s="1"/>
  <c r="Q15" i="27" s="1"/>
  <c r="O16" i="27"/>
  <c r="P16" i="27" s="1"/>
  <c r="Q16" i="27" s="1"/>
  <c r="O17" i="27"/>
  <c r="P17" i="27" s="1"/>
  <c r="Q17" i="27" s="1"/>
  <c r="O18" i="27"/>
  <c r="P18" i="27" s="1"/>
  <c r="Q18" i="27" s="1"/>
  <c r="O20" i="27"/>
  <c r="P20" i="27" s="1"/>
  <c r="Q20" i="27" s="1"/>
  <c r="O5" i="27"/>
  <c r="P5" i="27" s="1"/>
  <c r="Q5" i="27" s="1"/>
  <c r="S6" i="28"/>
  <c r="T6" i="28" s="1"/>
  <c r="S16" i="28"/>
  <c r="T16" i="28" s="1"/>
  <c r="R7" i="28"/>
  <c r="S7" i="28" s="1"/>
  <c r="T7" i="28" s="1"/>
  <c r="R8" i="28"/>
  <c r="S8" i="28" s="1"/>
  <c r="T8" i="28" s="1"/>
  <c r="R9" i="28"/>
  <c r="S9" i="28" s="1"/>
  <c r="T9" i="28" s="1"/>
  <c r="R10" i="28"/>
  <c r="S10" i="28" s="1"/>
  <c r="T10" i="28" s="1"/>
  <c r="R11" i="28"/>
  <c r="S11" i="28" s="1"/>
  <c r="T11" i="28" s="1"/>
  <c r="R12" i="28"/>
  <c r="S12" i="28" s="1"/>
  <c r="T12" i="28" s="1"/>
  <c r="R13" i="28"/>
  <c r="S13" i="28" s="1"/>
  <c r="T13" i="28" s="1"/>
  <c r="R14" i="28"/>
  <c r="S14" i="28" s="1"/>
  <c r="T14" i="28" s="1"/>
  <c r="R15" i="28"/>
  <c r="S15" i="28" s="1"/>
  <c r="T15" i="28" s="1"/>
  <c r="R16" i="28"/>
  <c r="R17" i="28"/>
  <c r="S17" i="28" s="1"/>
  <c r="T17" i="28" s="1"/>
  <c r="R18" i="28"/>
  <c r="S18" i="28" s="1"/>
  <c r="T18" i="28" s="1"/>
  <c r="R20" i="28"/>
  <c r="S20" i="28" s="1"/>
  <c r="T20" i="28" s="1"/>
  <c r="R5" i="28"/>
  <c r="S5" i="28" s="1"/>
  <c r="T5" i="28" s="1"/>
  <c r="P11" i="29" l="1"/>
  <c r="Q11" i="29" s="1"/>
  <c r="O12" i="29"/>
  <c r="P12" i="29" s="1"/>
  <c r="Q12" i="29" s="1"/>
  <c r="O13" i="29"/>
  <c r="P13" i="29" s="1"/>
  <c r="Q13" i="29" s="1"/>
  <c r="O14" i="29"/>
  <c r="P14" i="29" s="1"/>
  <c r="Q14" i="29" s="1"/>
  <c r="O15" i="29"/>
  <c r="P15" i="29" s="1"/>
  <c r="Q15" i="29" s="1"/>
  <c r="O16" i="29"/>
  <c r="P16" i="29" s="1"/>
  <c r="Q16" i="29" s="1"/>
  <c r="O17" i="29"/>
  <c r="P17" i="29" s="1"/>
  <c r="Q17" i="29" s="1"/>
  <c r="O18" i="29"/>
  <c r="P18" i="29" s="1"/>
  <c r="Q18" i="29" s="1"/>
  <c r="O19" i="29"/>
  <c r="P19" i="29" s="1"/>
  <c r="Q19" i="29" s="1"/>
  <c r="O20" i="29"/>
  <c r="P20" i="29" s="1"/>
  <c r="Q20" i="29" s="1"/>
  <c r="O21" i="29"/>
  <c r="P21" i="29" s="1"/>
  <c r="Q21" i="29" s="1"/>
  <c r="O23" i="29"/>
  <c r="P23" i="29" s="1"/>
  <c r="Q23" i="29" s="1"/>
  <c r="O10" i="29"/>
  <c r="P10" i="29" s="1"/>
  <c r="Q10" i="29" s="1"/>
  <c r="O32" i="37"/>
  <c r="P32" i="37" s="1"/>
  <c r="Q32" i="37" s="1"/>
  <c r="O19" i="37"/>
  <c r="P19" i="37" s="1"/>
  <c r="Q19" i="37" s="1"/>
  <c r="O20" i="37"/>
  <c r="P20" i="37" s="1"/>
  <c r="Q20" i="37" s="1"/>
  <c r="O21" i="37"/>
  <c r="P21" i="37" s="1"/>
  <c r="Q21" i="37" s="1"/>
  <c r="O22" i="37"/>
  <c r="P22" i="37" s="1"/>
  <c r="Q22" i="37" s="1"/>
  <c r="O23" i="37"/>
  <c r="P23" i="37" s="1"/>
  <c r="Q23" i="37" s="1"/>
  <c r="O24" i="37"/>
  <c r="P24" i="37" s="1"/>
  <c r="Q24" i="37" s="1"/>
  <c r="O25" i="37"/>
  <c r="P25" i="37" s="1"/>
  <c r="Q25" i="37" s="1"/>
  <c r="O26" i="37"/>
  <c r="P26" i="37" s="1"/>
  <c r="Q26" i="37" s="1"/>
  <c r="O27" i="37"/>
  <c r="P27" i="37" s="1"/>
  <c r="Q27" i="37" s="1"/>
  <c r="O28" i="37"/>
  <c r="P28" i="37" s="1"/>
  <c r="Q28" i="37" s="1"/>
  <c r="O29" i="37"/>
  <c r="P29" i="37" s="1"/>
  <c r="Q29" i="37" s="1"/>
  <c r="O30" i="37"/>
  <c r="P30" i="37" s="1"/>
  <c r="Q30" i="37" s="1"/>
  <c r="O18" i="37"/>
  <c r="P18" i="37" s="1"/>
  <c r="Q18" i="37" s="1"/>
  <c r="O15" i="37"/>
  <c r="P15" i="37" s="1"/>
  <c r="Q15" i="37" s="1"/>
  <c r="O19" i="31" l="1"/>
  <c r="P19" i="31" s="1"/>
  <c r="Q19" i="31" s="1"/>
  <c r="O21" i="31"/>
  <c r="P21" i="31" s="1"/>
  <c r="Q21" i="31" s="1"/>
  <c r="O26" i="31"/>
  <c r="P26" i="31" s="1"/>
  <c r="Q26" i="31" s="1"/>
  <c r="O24" i="31"/>
  <c r="P24" i="31" s="1"/>
  <c r="Q24" i="31" s="1"/>
  <c r="O23" i="31"/>
  <c r="P23" i="31" s="1"/>
  <c r="Q23" i="31" s="1"/>
  <c r="O22" i="31"/>
  <c r="P22" i="31" s="1"/>
  <c r="Q22" i="31" s="1"/>
  <c r="O18" i="31"/>
  <c r="P18" i="31" s="1"/>
  <c r="Q18" i="31" s="1"/>
  <c r="O17" i="31"/>
  <c r="P17" i="31" s="1"/>
  <c r="Q17" i="31" s="1"/>
  <c r="O16" i="31"/>
  <c r="P16" i="31" s="1"/>
  <c r="Q16" i="31" s="1"/>
  <c r="O15" i="31"/>
  <c r="P15" i="31" s="1"/>
  <c r="Q15" i="31" s="1"/>
  <c r="O14" i="31"/>
  <c r="P14" i="31" s="1"/>
  <c r="Q14" i="31" s="1"/>
  <c r="O13" i="31"/>
  <c r="O12" i="31"/>
  <c r="P12" i="31" s="1"/>
  <c r="Q12" i="31" s="1"/>
  <c r="O10" i="31"/>
  <c r="P10" i="31" s="1"/>
  <c r="Q10" i="31" s="1"/>
  <c r="P13" i="31" l="1"/>
  <c r="Q13" i="31" s="1"/>
  <c r="P6" i="32"/>
  <c r="Q6" i="32" s="1"/>
  <c r="O15" i="32"/>
  <c r="P15" i="32" s="1"/>
  <c r="Q15" i="32" s="1"/>
  <c r="O7" i="32"/>
  <c r="P7" i="32" s="1"/>
  <c r="Q7" i="32" s="1"/>
  <c r="O8" i="32"/>
  <c r="P8" i="32" s="1"/>
  <c r="Q8" i="32" s="1"/>
  <c r="O9" i="32"/>
  <c r="P9" i="32" s="1"/>
  <c r="Q9" i="32" s="1"/>
  <c r="O10" i="32"/>
  <c r="P10" i="32" s="1"/>
  <c r="Q10" i="32" s="1"/>
  <c r="O11" i="32"/>
  <c r="P11" i="32" s="1"/>
  <c r="Q11" i="32" s="1"/>
  <c r="O12" i="32"/>
  <c r="P12" i="32" s="1"/>
  <c r="Q12" i="32" s="1"/>
  <c r="O13" i="32"/>
  <c r="P13" i="32" s="1"/>
  <c r="Q13" i="32" s="1"/>
  <c r="O5" i="32"/>
  <c r="P5" i="32" s="1"/>
  <c r="Q5" i="32" s="1"/>
  <c r="O13" i="33"/>
  <c r="P13" i="33"/>
  <c r="Q13" i="33"/>
  <c r="P17" i="33" l="1"/>
  <c r="Q17" i="33" s="1"/>
  <c r="O30" i="33"/>
  <c r="P30" i="33" s="1"/>
  <c r="Q30" i="33" s="1"/>
  <c r="O16" i="33"/>
  <c r="P16" i="33" s="1"/>
  <c r="Q16" i="33" s="1"/>
  <c r="O18" i="33"/>
  <c r="P18" i="33" s="1"/>
  <c r="Q18" i="33" s="1"/>
  <c r="O19" i="33"/>
  <c r="P19" i="33" s="1"/>
  <c r="Q19" i="33" s="1"/>
  <c r="O20" i="33"/>
  <c r="P20" i="33" s="1"/>
  <c r="Q20" i="33" s="1"/>
  <c r="O21" i="33"/>
  <c r="P21" i="33" s="1"/>
  <c r="Q21" i="33" s="1"/>
  <c r="O22" i="33"/>
  <c r="P22" i="33" s="1"/>
  <c r="Q22" i="33" s="1"/>
  <c r="O23" i="33"/>
  <c r="P23" i="33" s="1"/>
  <c r="Q23" i="33" s="1"/>
  <c r="O24" i="33"/>
  <c r="P24" i="33" s="1"/>
  <c r="Q24" i="33" s="1"/>
  <c r="O25" i="33"/>
  <c r="P25" i="33" s="1"/>
  <c r="Q25" i="33" s="1"/>
  <c r="O26" i="33"/>
  <c r="P26" i="33" s="1"/>
  <c r="Q26" i="33" s="1"/>
  <c r="O27" i="33"/>
  <c r="P27" i="33" s="1"/>
  <c r="Q27" i="33" s="1"/>
  <c r="O28" i="33"/>
  <c r="P28" i="33" s="1"/>
  <c r="Q28" i="33" s="1"/>
  <c r="O15" i="33"/>
  <c r="P15" i="33" s="1"/>
  <c r="Q15" i="33" s="1"/>
  <c r="P7" i="35" l="1"/>
  <c r="Q7" i="35" s="1"/>
  <c r="O18" i="35"/>
  <c r="P18" i="35" s="1"/>
  <c r="Q18" i="35" s="1"/>
  <c r="O6" i="35"/>
  <c r="P6" i="35" s="1"/>
  <c r="Q6" i="35" s="1"/>
  <c r="O8" i="35"/>
  <c r="P8" i="35" s="1"/>
  <c r="Q8" i="35" s="1"/>
  <c r="O10" i="35"/>
  <c r="P10" i="35" s="1"/>
  <c r="Q10" i="35" s="1"/>
  <c r="O11" i="35"/>
  <c r="P11" i="35" s="1"/>
  <c r="Q11" i="35" s="1"/>
  <c r="O12" i="35"/>
  <c r="P12" i="35" s="1"/>
  <c r="Q12" i="35" s="1"/>
  <c r="O13" i="35"/>
  <c r="P13" i="35" s="1"/>
  <c r="Q13" i="35" s="1"/>
  <c r="O14" i="35"/>
  <c r="P14" i="35" s="1"/>
  <c r="Q14" i="35" s="1"/>
  <c r="O15" i="35"/>
  <c r="P15" i="35" s="1"/>
  <c r="Q15" i="35" s="1"/>
  <c r="O16" i="35"/>
  <c r="P16" i="35" s="1"/>
  <c r="Q16" i="35" s="1"/>
  <c r="O5" i="35"/>
  <c r="P5" i="35" s="1"/>
  <c r="Q5" i="35" s="1"/>
  <c r="S80" i="38" l="1"/>
  <c r="M97" i="38"/>
  <c r="N97" i="38"/>
  <c r="S62" i="38"/>
  <c r="O118" i="38" l="1"/>
  <c r="O124" i="38" s="1"/>
  <c r="N117" i="38"/>
  <c r="M109" i="38"/>
  <c r="P9" i="2"/>
  <c r="Q9" i="2" s="1"/>
  <c r="P26" i="2"/>
  <c r="O11" i="2"/>
  <c r="P11" i="2" s="1"/>
  <c r="Q11" i="2" s="1"/>
  <c r="O13" i="2"/>
  <c r="P13" i="2" s="1"/>
  <c r="Q13" i="2" s="1"/>
  <c r="O17" i="2"/>
  <c r="P17" i="2" s="1"/>
  <c r="Q17" i="2" s="1"/>
  <c r="O19" i="2"/>
  <c r="P19" i="2" s="1"/>
  <c r="Q19" i="2" s="1"/>
  <c r="O20" i="2"/>
  <c r="P20" i="2" s="1"/>
  <c r="Q20" i="2" s="1"/>
  <c r="O21" i="2"/>
  <c r="P21" i="2" s="1"/>
  <c r="Q21" i="2" s="1"/>
  <c r="O23" i="2"/>
  <c r="P23" i="2" s="1"/>
  <c r="Q23" i="2" s="1"/>
  <c r="O6" i="2"/>
  <c r="P6" i="2" s="1"/>
  <c r="Q6" i="2" s="1"/>
  <c r="O7" i="2"/>
  <c r="P7" i="2" s="1"/>
  <c r="Q7" i="2" s="1"/>
  <c r="O8" i="2"/>
  <c r="O25" i="2"/>
  <c r="P25" i="2" s="1"/>
  <c r="Q25" i="2" s="1"/>
  <c r="S18" i="2"/>
  <c r="O18" i="2" s="1"/>
  <c r="P18" i="2" s="1"/>
  <c r="Q18" i="2" s="1"/>
  <c r="O16" i="2"/>
  <c r="P16" i="2" s="1"/>
  <c r="Q16" i="2" s="1"/>
  <c r="O15" i="2"/>
  <c r="P15" i="2" s="1"/>
  <c r="Q15" i="2" s="1"/>
  <c r="S14" i="2"/>
  <c r="O14" i="2" s="1"/>
  <c r="P14" i="2" s="1"/>
  <c r="Q14" i="2" s="1"/>
  <c r="O12" i="2"/>
  <c r="P12" i="2" s="1"/>
  <c r="Q12" i="2" s="1"/>
  <c r="O5" i="2"/>
  <c r="P5" i="2" s="1"/>
  <c r="Q5" i="2" s="1"/>
  <c r="P8" i="2" l="1"/>
  <c r="Q8" i="2" s="1"/>
  <c r="O10" i="2"/>
  <c r="P10" i="2" s="1"/>
  <c r="Q10" i="2" s="1"/>
  <c r="S22" i="2" l="1"/>
  <c r="O22" i="2" s="1"/>
  <c r="P22" i="2" l="1"/>
  <c r="Q22" i="2" s="1"/>
  <c r="O48" i="2"/>
  <c r="H22" i="41"/>
  <c r="I22" i="41"/>
  <c r="J22" i="41"/>
  <c r="H12" i="40"/>
  <c r="I12" i="40"/>
  <c r="J12" i="40"/>
  <c r="H11" i="40"/>
  <c r="I11" i="40"/>
  <c r="J11" i="40"/>
  <c r="H9" i="40"/>
  <c r="I9" i="40"/>
  <c r="J9" i="40"/>
  <c r="M124" i="38"/>
  <c r="N124" i="38"/>
  <c r="Q200" i="39"/>
  <c r="F11" i="42" s="1"/>
  <c r="R200" i="39"/>
  <c r="G11" i="42" s="1"/>
  <c r="S200" i="39"/>
  <c r="H11" i="42" s="1"/>
  <c r="H8" i="40"/>
  <c r="P55" i="36"/>
  <c r="I8" i="40" s="1"/>
  <c r="Q55" i="36"/>
  <c r="J8" i="40" s="1"/>
  <c r="P48" i="2"/>
  <c r="I10" i="40" s="1"/>
  <c r="Q48" i="2"/>
  <c r="J10" i="40" s="1"/>
  <c r="H13" i="40"/>
  <c r="I13" i="40"/>
  <c r="J13" i="40"/>
  <c r="H14" i="40"/>
  <c r="I14" i="40"/>
  <c r="J14" i="40"/>
  <c r="O8" i="6"/>
  <c r="H7" i="41" s="1"/>
  <c r="P8" i="6"/>
  <c r="I7" i="41" s="1"/>
  <c r="Q8" i="6"/>
  <c r="J7" i="41" s="1"/>
  <c r="O39" i="7"/>
  <c r="H15" i="40" s="1"/>
  <c r="P39" i="7"/>
  <c r="I15" i="40" s="1"/>
  <c r="Q39" i="7"/>
  <c r="J15" i="40" s="1"/>
  <c r="O42" i="8"/>
  <c r="H16" i="40" s="1"/>
  <c r="P42" i="8"/>
  <c r="I16" i="40" s="1"/>
  <c r="Q42" i="8"/>
  <c r="J16" i="40" s="1"/>
  <c r="O9" i="8"/>
  <c r="H8" i="41" s="1"/>
  <c r="P9" i="8"/>
  <c r="I8" i="41" s="1"/>
  <c r="Q9" i="8"/>
  <c r="J8" i="41" s="1"/>
  <c r="O35" i="9"/>
  <c r="H17" i="40" s="1"/>
  <c r="P35" i="9"/>
  <c r="I17" i="40" s="1"/>
  <c r="Q35" i="9"/>
  <c r="J17" i="40" s="1"/>
  <c r="O42" i="10"/>
  <c r="H18" i="40" s="1"/>
  <c r="P42" i="10"/>
  <c r="I18" i="40" s="1"/>
  <c r="Q42" i="10"/>
  <c r="J18" i="40" s="1"/>
  <c r="O46" i="11"/>
  <c r="H19" i="40" s="1"/>
  <c r="P46" i="11"/>
  <c r="I19" i="40" s="1"/>
  <c r="Q46" i="11"/>
  <c r="J19" i="40" s="1"/>
  <c r="O11" i="11"/>
  <c r="H9" i="41" s="1"/>
  <c r="P11" i="11"/>
  <c r="I9" i="41" s="1"/>
  <c r="Q11" i="11"/>
  <c r="J9" i="41" s="1"/>
  <c r="O8" i="13"/>
  <c r="H10" i="41" s="1"/>
  <c r="P8" i="13"/>
  <c r="I10" i="41" s="1"/>
  <c r="Q8" i="13"/>
  <c r="J10" i="41" s="1"/>
  <c r="H11" i="41"/>
  <c r="I11" i="41"/>
  <c r="J11" i="41"/>
  <c r="O8" i="17"/>
  <c r="H12" i="41" s="1"/>
  <c r="P8" i="17"/>
  <c r="I12" i="41" s="1"/>
  <c r="Q8" i="17"/>
  <c r="J12" i="41" s="1"/>
  <c r="O10" i="19"/>
  <c r="H13" i="41" s="1"/>
  <c r="P10" i="19"/>
  <c r="I13" i="41" s="1"/>
  <c r="Q10" i="19"/>
  <c r="J13" i="41" s="1"/>
  <c r="O11" i="20"/>
  <c r="H14" i="41" s="1"/>
  <c r="P11" i="20"/>
  <c r="I14" i="41" s="1"/>
  <c r="Q11" i="20"/>
  <c r="J14" i="41" s="1"/>
  <c r="O8" i="22"/>
  <c r="H15" i="41" s="1"/>
  <c r="P8" i="22"/>
  <c r="I15" i="41" s="1"/>
  <c r="Q8" i="22"/>
  <c r="J15" i="41" s="1"/>
  <c r="O8" i="23"/>
  <c r="H16" i="41" s="1"/>
  <c r="P8" i="23"/>
  <c r="I16" i="41" s="1"/>
  <c r="Q8" i="23"/>
  <c r="J16" i="41" s="1"/>
  <c r="O13" i="24"/>
  <c r="H17" i="41" s="1"/>
  <c r="P13" i="24"/>
  <c r="I17" i="41" s="1"/>
  <c r="Q13" i="24"/>
  <c r="J17" i="41" s="1"/>
  <c r="O8" i="26"/>
  <c r="H18" i="41" s="1"/>
  <c r="P8" i="26"/>
  <c r="I18" i="41" s="1"/>
  <c r="Q8" i="26"/>
  <c r="J18" i="41" s="1"/>
  <c r="O38" i="27"/>
  <c r="H34" i="40" s="1"/>
  <c r="P38" i="27"/>
  <c r="I34" i="40" s="1"/>
  <c r="Q38" i="27"/>
  <c r="J34" i="40" s="1"/>
  <c r="R30" i="28"/>
  <c r="H35" i="40" s="1"/>
  <c r="S30" i="28"/>
  <c r="I35" i="40" s="1"/>
  <c r="T30" i="28"/>
  <c r="J35" i="40" s="1"/>
  <c r="O33" i="29"/>
  <c r="H36" i="40" s="1"/>
  <c r="P33" i="29"/>
  <c r="I36" i="40" s="1"/>
  <c r="Q33" i="29"/>
  <c r="J36" i="40" s="1"/>
  <c r="O8" i="29"/>
  <c r="H19" i="41" s="1"/>
  <c r="P8" i="29"/>
  <c r="I19" i="41" s="1"/>
  <c r="Q8" i="29"/>
  <c r="J19" i="41" s="1"/>
  <c r="O48" i="37"/>
  <c r="H37" i="40" s="1"/>
  <c r="P48" i="37"/>
  <c r="I37" i="40" s="1"/>
  <c r="Q48" i="37"/>
  <c r="J37" i="40" s="1"/>
  <c r="O13" i="37"/>
  <c r="H20" i="41" s="1"/>
  <c r="P13" i="37"/>
  <c r="I20" i="41" s="1"/>
  <c r="Q13" i="37"/>
  <c r="J20" i="41" s="1"/>
  <c r="O8" i="31"/>
  <c r="H21" i="41" s="1"/>
  <c r="P8" i="31"/>
  <c r="I21" i="41" s="1"/>
  <c r="Q8" i="31"/>
  <c r="J21" i="41" s="1"/>
  <c r="O17" i="32"/>
  <c r="H39" i="40" s="1"/>
  <c r="P17" i="32"/>
  <c r="I39" i="40" s="1"/>
  <c r="Q17" i="32"/>
  <c r="J39" i="40" s="1"/>
  <c r="M47" i="33"/>
  <c r="O47" i="33"/>
  <c r="H40" i="40" s="1"/>
  <c r="P47" i="33"/>
  <c r="I40" i="40" s="1"/>
  <c r="Q47" i="33"/>
  <c r="J40" i="40" s="1"/>
  <c r="H10" i="40" l="1"/>
  <c r="J24" i="41"/>
  <c r="H7" i="42" s="1"/>
  <c r="H24" i="41"/>
  <c r="F7" i="42" s="1"/>
  <c r="I24" i="41"/>
  <c r="G7" i="42" s="1"/>
  <c r="J7" i="40"/>
  <c r="I7" i="40"/>
  <c r="H7" i="40"/>
  <c r="M225" i="38"/>
  <c r="F12" i="42" s="1"/>
  <c r="O225" i="38"/>
  <c r="N225" i="38"/>
  <c r="L51" i="17"/>
  <c r="M8" i="17"/>
  <c r="F12" i="41" s="1"/>
  <c r="L8" i="17"/>
  <c r="E12" i="41" s="1"/>
  <c r="H6" i="40" l="1"/>
  <c r="G12" i="42"/>
  <c r="I6" i="40"/>
  <c r="H12" i="42"/>
  <c r="J6" i="40"/>
  <c r="M11" i="11"/>
  <c r="L11" i="11"/>
  <c r="M42" i="36" l="1"/>
  <c r="M32" i="2"/>
  <c r="M31" i="2"/>
  <c r="M52" i="15" l="1"/>
  <c r="M54" i="15" s="1"/>
  <c r="M26" i="14" l="1"/>
  <c r="M45" i="14" s="1"/>
  <c r="M72" i="15"/>
  <c r="L46" i="11" l="1"/>
  <c r="M36" i="31"/>
  <c r="O57" i="39" l="1"/>
  <c r="O54" i="39"/>
  <c r="O98" i="39" l="1"/>
  <c r="O99" i="39"/>
  <c r="M27" i="10" l="1"/>
  <c r="M26" i="10"/>
  <c r="M11" i="20"/>
  <c r="S67" i="15"/>
  <c r="O67" i="15" s="1"/>
  <c r="S15" i="23"/>
  <c r="O15" i="23" s="1"/>
  <c r="P67" i="15" l="1"/>
  <c r="P15" i="23"/>
  <c r="M46" i="11"/>
  <c r="M96" i="15"/>
  <c r="S13" i="26"/>
  <c r="O13" i="26" s="1"/>
  <c r="S9" i="35"/>
  <c r="O9" i="35" s="1"/>
  <c r="Q67" i="15" l="1"/>
  <c r="Q15" i="23"/>
  <c r="P13" i="26"/>
  <c r="O32" i="26"/>
  <c r="H33" i="40" s="1"/>
  <c r="P9" i="35"/>
  <c r="O36" i="35"/>
  <c r="H41" i="40" s="1"/>
  <c r="L36" i="27"/>
  <c r="Q13" i="26" l="1"/>
  <c r="Q32" i="26" s="1"/>
  <c r="J33" i="40" s="1"/>
  <c r="P32" i="26"/>
  <c r="I33" i="40" s="1"/>
  <c r="Q9" i="35"/>
  <c r="Q36" i="35" s="1"/>
  <c r="J41" i="40" s="1"/>
  <c r="P36" i="35"/>
  <c r="I41" i="40" s="1"/>
  <c r="N30" i="28"/>
  <c r="J61" i="38"/>
  <c r="J97" i="38" s="1"/>
  <c r="N124" i="39"/>
  <c r="L10" i="37" l="1"/>
  <c r="J127" i="38" l="1"/>
  <c r="M13" i="33" l="1"/>
  <c r="L13" i="33"/>
  <c r="M13" i="37"/>
  <c r="M13" i="24"/>
  <c r="L13" i="24"/>
  <c r="L26" i="14"/>
  <c r="J194" i="38"/>
  <c r="L22" i="15"/>
  <c r="L10" i="15"/>
  <c r="L8" i="15"/>
  <c r="L8" i="31"/>
  <c r="M8" i="31"/>
  <c r="F21" i="41" s="1"/>
  <c r="E21" i="41" l="1"/>
  <c r="L8" i="20"/>
  <c r="L11" i="20" s="1"/>
  <c r="J124" i="38" l="1"/>
  <c r="L52" i="15" l="1"/>
  <c r="L54" i="15" s="1"/>
  <c r="L13" i="37"/>
  <c r="N130" i="39" l="1"/>
  <c r="N200" i="39" s="1"/>
  <c r="L7" i="8"/>
  <c r="L32" i="2" l="1"/>
  <c r="O200" i="39" l="1"/>
  <c r="L25" i="14" l="1"/>
  <c r="L23" i="14"/>
  <c r="L22" i="14"/>
  <c r="L21" i="14"/>
  <c r="L20" i="14"/>
  <c r="L45" i="14" l="1"/>
  <c r="L98" i="1"/>
  <c r="L33" i="5"/>
  <c r="L43" i="6"/>
  <c r="L48" i="2"/>
  <c r="L55" i="36"/>
  <c r="M98" i="1" l="1"/>
  <c r="L39" i="7"/>
  <c r="L42" i="13"/>
  <c r="M55" i="36"/>
  <c r="L42" i="10" l="1"/>
  <c r="L35" i="16" l="1"/>
  <c r="M51" i="17" l="1"/>
  <c r="L32" i="26"/>
  <c r="O30" i="28"/>
  <c r="L26" i="18"/>
  <c r="L27" i="23"/>
  <c r="L29" i="22"/>
  <c r="L36" i="19"/>
  <c r="L38" i="20"/>
  <c r="M26" i="25"/>
  <c r="L26" i="25"/>
  <c r="S20" i="31" l="1"/>
  <c r="O20" i="31" s="1"/>
  <c r="P20" i="31" l="1"/>
  <c r="O38" i="31"/>
  <c r="H38" i="40" s="1"/>
  <c r="L38" i="31"/>
  <c r="M38" i="31"/>
  <c r="L36" i="35"/>
  <c r="L48" i="37"/>
  <c r="M48" i="37"/>
  <c r="L17" i="32"/>
  <c r="Q20" i="31" l="1"/>
  <c r="Q38" i="31" s="1"/>
  <c r="J38" i="40" s="1"/>
  <c r="P38" i="31"/>
  <c r="I38" i="40" s="1"/>
  <c r="M36" i="35"/>
  <c r="K124" i="38"/>
  <c r="J225" i="38" l="1"/>
  <c r="E41" i="40" l="1"/>
  <c r="F41" i="40"/>
  <c r="E32" i="40"/>
  <c r="F32" i="40"/>
  <c r="E8" i="40" l="1"/>
  <c r="F8" i="40"/>
  <c r="E7" i="40"/>
  <c r="F7" i="40"/>
  <c r="C11" i="42" l="1"/>
  <c r="D11" i="42"/>
  <c r="E6" i="40"/>
  <c r="K225" i="38"/>
  <c r="F6" i="40" s="1"/>
  <c r="F40" i="40"/>
  <c r="E22" i="41"/>
  <c r="F22" i="41"/>
  <c r="E39" i="40"/>
  <c r="M17" i="32"/>
  <c r="F39" i="40" s="1"/>
  <c r="E38" i="40"/>
  <c r="F38" i="40"/>
  <c r="E37" i="40"/>
  <c r="F37" i="40"/>
  <c r="E20" i="41"/>
  <c r="F20" i="41"/>
  <c r="L33" i="29"/>
  <c r="M33" i="29"/>
  <c r="F36" i="40" s="1"/>
  <c r="L8" i="29"/>
  <c r="M8" i="29"/>
  <c r="F19" i="41" s="1"/>
  <c r="E35" i="40"/>
  <c r="P30" i="28"/>
  <c r="F35" i="40" s="1"/>
  <c r="E33" i="40"/>
  <c r="M32" i="26"/>
  <c r="F33" i="40" s="1"/>
  <c r="L8" i="26"/>
  <c r="M8" i="26"/>
  <c r="F18" i="41" s="1"/>
  <c r="L34" i="24"/>
  <c r="M34" i="24"/>
  <c r="F31" i="40" s="1"/>
  <c r="E17" i="41"/>
  <c r="F17" i="41"/>
  <c r="E30" i="40"/>
  <c r="M27" i="23"/>
  <c r="F30" i="40" s="1"/>
  <c r="L8" i="23"/>
  <c r="M8" i="23"/>
  <c r="F16" i="41" s="1"/>
  <c r="E29" i="40"/>
  <c r="M29" i="22"/>
  <c r="F29" i="40" s="1"/>
  <c r="L8" i="22"/>
  <c r="M8" i="22"/>
  <c r="F15" i="41" s="1"/>
  <c r="E28" i="40"/>
  <c r="M38" i="20"/>
  <c r="F28" i="40" s="1"/>
  <c r="E14" i="41"/>
  <c r="F14" i="41"/>
  <c r="E27" i="40"/>
  <c r="M36" i="19"/>
  <c r="F27" i="40" s="1"/>
  <c r="L10" i="19"/>
  <c r="M10" i="19"/>
  <c r="F13" i="41" s="1"/>
  <c r="E26" i="40"/>
  <c r="M26" i="18"/>
  <c r="F26" i="40" s="1"/>
  <c r="L27" i="21"/>
  <c r="M27" i="21"/>
  <c r="F25" i="40" s="1"/>
  <c r="E24" i="40"/>
  <c r="F24" i="40"/>
  <c r="E19" i="41" l="1"/>
  <c r="E36" i="40"/>
  <c r="E18" i="41"/>
  <c r="E31" i="40"/>
  <c r="E16" i="41"/>
  <c r="E15" i="41"/>
  <c r="E13" i="41"/>
  <c r="E25" i="40"/>
  <c r="C12" i="42"/>
  <c r="D12" i="42"/>
  <c r="E23" i="40"/>
  <c r="M35" i="16"/>
  <c r="F23" i="40" s="1"/>
  <c r="E11" i="41"/>
  <c r="F11" i="41"/>
  <c r="L96" i="15"/>
  <c r="F22" i="40"/>
  <c r="E20" i="40"/>
  <c r="M42" i="13"/>
  <c r="F20" i="40" s="1"/>
  <c r="L8" i="13"/>
  <c r="M8" i="13"/>
  <c r="F10" i="41" s="1"/>
  <c r="E22" i="40" l="1"/>
  <c r="E10" i="41"/>
  <c r="E21" i="40"/>
  <c r="F21" i="40"/>
  <c r="F19" i="40"/>
  <c r="F9" i="41"/>
  <c r="E18" i="40"/>
  <c r="M42" i="10"/>
  <c r="F18" i="40" s="1"/>
  <c r="L35" i="9"/>
  <c r="M35" i="9"/>
  <c r="F17" i="40" s="1"/>
  <c r="L9" i="8"/>
  <c r="M9" i="8"/>
  <c r="F8" i="41" s="1"/>
  <c r="E15" i="40"/>
  <c r="M39" i="7"/>
  <c r="F15" i="40" s="1"/>
  <c r="E14" i="40"/>
  <c r="M43" i="6"/>
  <c r="F14" i="40" s="1"/>
  <c r="L8" i="6"/>
  <c r="M8" i="6"/>
  <c r="F7" i="41" s="1"/>
  <c r="E13" i="40"/>
  <c r="M33" i="5"/>
  <c r="F13" i="40" s="1"/>
  <c r="L36" i="4"/>
  <c r="M36" i="4"/>
  <c r="F12" i="40" s="1"/>
  <c r="L39" i="3"/>
  <c r="M39" i="3"/>
  <c r="F11" i="40" s="1"/>
  <c r="E10" i="40"/>
  <c r="M48" i="2"/>
  <c r="F10" i="40" s="1"/>
  <c r="E9" i="40"/>
  <c r="F9" i="40"/>
  <c r="E19" i="40" l="1"/>
  <c r="E9" i="41"/>
  <c r="E17" i="40"/>
  <c r="E8" i="41"/>
  <c r="E7" i="41"/>
  <c r="E12" i="40"/>
  <c r="E11" i="40"/>
  <c r="F24" i="41"/>
  <c r="D7" i="42" s="1"/>
  <c r="E24" i="41" l="1"/>
  <c r="C7" i="42" s="1"/>
  <c r="L30" i="28" l="1"/>
  <c r="O497" i="43" l="1"/>
  <c r="Q497" i="43"/>
  <c r="P491" i="43" l="1"/>
  <c r="Q489" i="43"/>
  <c r="O489" i="43"/>
  <c r="Q488" i="43"/>
  <c r="Q487" i="43"/>
  <c r="Q486" i="43"/>
  <c r="O486" i="43"/>
  <c r="Q485" i="43"/>
  <c r="O485" i="43"/>
  <c r="Q484" i="43"/>
  <c r="O484" i="43"/>
  <c r="Q483" i="43"/>
  <c r="O483" i="43"/>
  <c r="Q482" i="43"/>
  <c r="Q481" i="43"/>
  <c r="Q480" i="43"/>
  <c r="O480" i="43"/>
  <c r="Q479" i="43"/>
  <c r="O479" i="43"/>
  <c r="Q478" i="43"/>
  <c r="O478" i="43"/>
  <c r="Q477" i="43"/>
  <c r="O477" i="43"/>
  <c r="Q476" i="43"/>
  <c r="O476" i="43"/>
  <c r="Q475" i="43"/>
  <c r="O475" i="43"/>
  <c r="Q474" i="43"/>
  <c r="O474" i="43"/>
  <c r="Q473" i="43"/>
  <c r="O473" i="43"/>
  <c r="Q472" i="43"/>
  <c r="O472" i="43"/>
  <c r="Q471" i="43"/>
  <c r="O471" i="43"/>
  <c r="Q470" i="43"/>
  <c r="O470" i="43"/>
  <c r="Q469" i="43"/>
  <c r="O469" i="43"/>
  <c r="Q468" i="43"/>
  <c r="O468" i="43"/>
  <c r="Q467" i="43"/>
  <c r="O467" i="43"/>
  <c r="Q466" i="43"/>
  <c r="O466" i="43"/>
  <c r="Q465" i="43"/>
  <c r="O465" i="43"/>
  <c r="Q464" i="43"/>
  <c r="O464" i="43"/>
  <c r="Q463" i="43"/>
  <c r="O463" i="43"/>
  <c r="Q462" i="43"/>
  <c r="O462" i="43"/>
  <c r="Q461" i="43"/>
  <c r="O461" i="43"/>
  <c r="Q460" i="43"/>
  <c r="O460" i="43"/>
  <c r="Q459" i="43"/>
  <c r="O459" i="43"/>
  <c r="Q458" i="43"/>
  <c r="O458" i="43"/>
  <c r="Q457" i="43"/>
  <c r="O457" i="43"/>
  <c r="Q456" i="43"/>
  <c r="O456" i="43"/>
  <c r="Q452" i="43"/>
  <c r="O452" i="43"/>
  <c r="Q445" i="43"/>
  <c r="O445" i="43"/>
  <c r="Q444" i="43"/>
  <c r="O444" i="43"/>
  <c r="Q443" i="43"/>
  <c r="O443" i="43"/>
  <c r="Q442" i="43"/>
  <c r="O442" i="43"/>
  <c r="Q440" i="43"/>
  <c r="O440" i="43"/>
  <c r="Q436" i="43"/>
  <c r="O436" i="43"/>
  <c r="Q435" i="43"/>
  <c r="O435" i="43"/>
  <c r="Q434" i="43"/>
  <c r="O434" i="43"/>
  <c r="Q433" i="43"/>
  <c r="O433" i="43"/>
  <c r="Q432" i="43"/>
  <c r="O432" i="43"/>
  <c r="Q431" i="43"/>
  <c r="O431" i="43"/>
  <c r="Q430" i="43"/>
  <c r="O430" i="43"/>
  <c r="Q429" i="43"/>
  <c r="O429" i="43"/>
  <c r="Q428" i="43"/>
  <c r="O428" i="43"/>
  <c r="Q426" i="43"/>
  <c r="O426" i="43"/>
  <c r="Q425" i="43"/>
  <c r="O425" i="43"/>
  <c r="Q424" i="43"/>
  <c r="O424" i="43"/>
  <c r="Q423" i="43"/>
  <c r="O423" i="43"/>
  <c r="O422" i="43"/>
  <c r="Q421" i="43"/>
  <c r="O421" i="43"/>
  <c r="Q420" i="43"/>
  <c r="O420" i="43"/>
  <c r="Q419" i="43"/>
  <c r="O419" i="43"/>
  <c r="Q418" i="43"/>
  <c r="O418" i="43"/>
  <c r="Q417" i="43"/>
  <c r="O417" i="43"/>
  <c r="Q416" i="43"/>
  <c r="O416" i="43"/>
  <c r="Q415" i="43"/>
  <c r="O415" i="43"/>
  <c r="Q412" i="43"/>
  <c r="O412" i="43"/>
  <c r="Q411" i="43"/>
  <c r="O411" i="43"/>
  <c r="Q409" i="43"/>
  <c r="O409" i="43"/>
  <c r="Q408" i="43"/>
  <c r="O408" i="43"/>
  <c r="Q406" i="43"/>
  <c r="O406" i="43"/>
  <c r="Q404" i="43"/>
  <c r="O404" i="43"/>
  <c r="Q403" i="43"/>
  <c r="O403" i="43"/>
  <c r="Q402" i="43"/>
  <c r="O402" i="43"/>
  <c r="Q401" i="43"/>
  <c r="O401" i="43"/>
  <c r="Q400" i="43"/>
  <c r="O400" i="43"/>
  <c r="Q399" i="43"/>
  <c r="O399" i="43"/>
  <c r="Q398" i="43"/>
  <c r="O398" i="43"/>
  <c r="Q397" i="43"/>
  <c r="O397" i="43"/>
  <c r="Q395" i="43"/>
  <c r="O395" i="43"/>
  <c r="Q393" i="43"/>
  <c r="Q390" i="43"/>
  <c r="O390" i="43"/>
  <c r="Q389" i="43"/>
  <c r="O389" i="43"/>
  <c r="Q388" i="43"/>
  <c r="O388" i="43"/>
  <c r="Q386" i="43"/>
  <c r="O386" i="43"/>
  <c r="Q385" i="43"/>
  <c r="O385" i="43"/>
  <c r="Q384" i="43"/>
  <c r="O384" i="43"/>
  <c r="Q383" i="43"/>
  <c r="O383" i="43"/>
  <c r="Q382" i="43"/>
  <c r="O382" i="43"/>
  <c r="Q381" i="43"/>
  <c r="O381" i="43"/>
  <c r="Q380" i="43"/>
  <c r="O380" i="43"/>
  <c r="Q377" i="43"/>
  <c r="O377" i="43"/>
  <c r="Q375" i="43"/>
  <c r="O375" i="43"/>
  <c r="Q374" i="43"/>
  <c r="O374" i="43"/>
  <c r="Q373" i="43"/>
  <c r="O373" i="43"/>
  <c r="Q372" i="43"/>
  <c r="O372" i="43"/>
  <c r="Q371" i="43"/>
  <c r="O371" i="43"/>
  <c r="Q370" i="43"/>
  <c r="O370" i="43"/>
  <c r="Q369" i="43"/>
  <c r="O369" i="43"/>
  <c r="Q368" i="43"/>
  <c r="O368" i="43"/>
  <c r="O367" i="43"/>
  <c r="Q366" i="43"/>
  <c r="O366" i="43"/>
  <c r="Q363" i="43"/>
  <c r="O363" i="43"/>
  <c r="Q362" i="43"/>
  <c r="O362" i="43"/>
  <c r="Q361" i="43"/>
  <c r="O361" i="43"/>
  <c r="Q360" i="43"/>
  <c r="O360" i="43"/>
  <c r="Q359" i="43"/>
  <c r="O359" i="43"/>
  <c r="Q358" i="43"/>
  <c r="O358" i="43"/>
  <c r="Q357" i="43"/>
  <c r="O357" i="43"/>
  <c r="Q356" i="43"/>
  <c r="O356" i="43"/>
  <c r="Q355" i="43"/>
  <c r="O355" i="43"/>
  <c r="O354" i="43"/>
  <c r="O353" i="43"/>
  <c r="Q352" i="43"/>
  <c r="O352" i="43"/>
  <c r="O351" i="43"/>
  <c r="Q350" i="43"/>
  <c r="O350" i="43"/>
  <c r="Q349" i="43"/>
  <c r="O349" i="43"/>
  <c r="Q348" i="43"/>
  <c r="O348" i="43"/>
  <c r="Q347" i="43"/>
  <c r="O347" i="43"/>
  <c r="Q346" i="43"/>
  <c r="O346" i="43"/>
  <c r="Q345" i="43"/>
  <c r="O345" i="43"/>
  <c r="Q344" i="43"/>
  <c r="O344" i="43"/>
  <c r="Q343" i="43"/>
  <c r="O343" i="43"/>
  <c r="Q342" i="43"/>
  <c r="O342" i="43"/>
  <c r="Q341" i="43"/>
  <c r="O341" i="43"/>
  <c r="Q340" i="43"/>
  <c r="O340" i="43"/>
  <c r="Q338" i="43"/>
  <c r="O338" i="43"/>
  <c r="Q337" i="43"/>
  <c r="O337" i="43"/>
  <c r="Q336" i="43"/>
  <c r="O336" i="43"/>
  <c r="Q335" i="43"/>
  <c r="O335" i="43"/>
  <c r="Q334" i="43"/>
  <c r="O334" i="43"/>
  <c r="Q333" i="43"/>
  <c r="O333" i="43"/>
  <c r="Q332" i="43"/>
  <c r="O332" i="43"/>
  <c r="Q331" i="43"/>
  <c r="O331" i="43"/>
  <c r="Q330" i="43"/>
  <c r="O330" i="43"/>
  <c r="Q329" i="43"/>
  <c r="O329" i="43"/>
  <c r="Q328" i="43"/>
  <c r="O328" i="43"/>
  <c r="Q327" i="43"/>
  <c r="O327" i="43"/>
  <c r="Q325" i="43"/>
  <c r="O324" i="43"/>
  <c r="Q323" i="43"/>
  <c r="O323" i="43"/>
  <c r="Q322" i="43"/>
  <c r="O322" i="43"/>
  <c r="Q321" i="43"/>
  <c r="O321" i="43"/>
  <c r="Q320" i="43"/>
  <c r="O320" i="43"/>
  <c r="O319" i="43"/>
  <c r="Q318" i="43"/>
  <c r="O318" i="43"/>
  <c r="Q317" i="43"/>
  <c r="O317" i="43"/>
  <c r="Q316" i="43"/>
  <c r="O316" i="43"/>
  <c r="Q315" i="43"/>
  <c r="O315" i="43"/>
  <c r="O314" i="43"/>
  <c r="Q313" i="43"/>
  <c r="O313" i="43"/>
  <c r="Q311" i="43"/>
  <c r="O311" i="43"/>
  <c r="Q310" i="43"/>
  <c r="O310" i="43"/>
  <c r="O309" i="43"/>
  <c r="Q308" i="43"/>
  <c r="O308" i="43"/>
  <c r="Q307" i="43"/>
  <c r="O307" i="43"/>
  <c r="Q306" i="43"/>
  <c r="O306" i="43"/>
  <c r="Q305" i="43"/>
  <c r="O305" i="43"/>
  <c r="Q304" i="43"/>
  <c r="O304" i="43"/>
  <c r="Q303" i="43"/>
  <c r="O303" i="43"/>
  <c r="Q302" i="43"/>
  <c r="O302" i="43"/>
  <c r="Q301" i="43"/>
  <c r="O301" i="43"/>
  <c r="Q300" i="43"/>
  <c r="O300" i="43"/>
  <c r="Q299" i="43"/>
  <c r="O299" i="43"/>
  <c r="Q297" i="43"/>
  <c r="O297" i="43"/>
  <c r="Q296" i="43"/>
  <c r="O296" i="43"/>
  <c r="Q295" i="43"/>
  <c r="O295" i="43"/>
  <c r="Q294" i="43"/>
  <c r="O294" i="43"/>
  <c r="Q293" i="43"/>
  <c r="O293" i="43"/>
  <c r="Q292" i="43"/>
  <c r="O292" i="43"/>
  <c r="Q291" i="43"/>
  <c r="O291" i="43"/>
  <c r="Q290" i="43"/>
  <c r="O290" i="43"/>
  <c r="Q289" i="43"/>
  <c r="O289" i="43"/>
  <c r="O288" i="43"/>
  <c r="Q287" i="43"/>
  <c r="O287" i="43"/>
  <c r="Q285" i="43"/>
  <c r="O285" i="43"/>
  <c r="Q283" i="43"/>
  <c r="O283" i="43"/>
  <c r="Q282" i="43"/>
  <c r="O282" i="43"/>
  <c r="O281" i="43"/>
  <c r="Q280" i="43"/>
  <c r="O280" i="43"/>
  <c r="Q279" i="43"/>
  <c r="O279" i="43"/>
  <c r="Q278" i="43"/>
  <c r="O278" i="43"/>
  <c r="Q277" i="43"/>
  <c r="O277" i="43"/>
  <c r="Q276" i="43"/>
  <c r="O276" i="43"/>
  <c r="Q275" i="43"/>
  <c r="O275" i="43"/>
  <c r="Q274" i="43"/>
  <c r="O274" i="43"/>
  <c r="O272" i="43"/>
  <c r="Q271" i="43"/>
  <c r="O271" i="43"/>
  <c r="Q270" i="43"/>
  <c r="O270" i="43"/>
  <c r="Q269" i="43"/>
  <c r="O269" i="43"/>
  <c r="Q268" i="43"/>
  <c r="O268" i="43"/>
  <c r="Q267" i="43"/>
  <c r="O267" i="43"/>
  <c r="Q266" i="43"/>
  <c r="O266" i="43"/>
  <c r="Q265" i="43"/>
  <c r="O265" i="43"/>
  <c r="Q264" i="43"/>
  <c r="O264" i="43"/>
  <c r="Q263" i="43"/>
  <c r="O263" i="43"/>
  <c r="O262" i="43"/>
  <c r="Q261" i="43"/>
  <c r="O261" i="43"/>
  <c r="Q258" i="43"/>
  <c r="O258" i="43"/>
  <c r="Q257" i="43"/>
  <c r="O257" i="43"/>
  <c r="Q256" i="43"/>
  <c r="O256" i="43"/>
  <c r="Q255" i="43"/>
  <c r="O255" i="43"/>
  <c r="Q254" i="43"/>
  <c r="O254" i="43"/>
  <c r="Q253" i="43"/>
  <c r="O253" i="43"/>
  <c r="Q252" i="43"/>
  <c r="O252" i="43"/>
  <c r="Q251" i="43"/>
  <c r="O251" i="43"/>
  <c r="Q250" i="43"/>
  <c r="O250" i="43"/>
  <c r="Q249" i="43"/>
  <c r="O249" i="43"/>
  <c r="Q248" i="43"/>
  <c r="O248" i="43"/>
  <c r="Q247" i="43"/>
  <c r="O247" i="43"/>
  <c r="O245" i="43"/>
  <c r="Q244" i="43"/>
  <c r="O244" i="43"/>
  <c r="Q243" i="43"/>
  <c r="O243" i="43"/>
  <c r="Q242" i="43"/>
  <c r="O242" i="43"/>
  <c r="Q241" i="43"/>
  <c r="O241" i="43"/>
  <c r="Q239" i="43"/>
  <c r="O239" i="43"/>
  <c r="Q238" i="43"/>
  <c r="O238" i="43"/>
  <c r="Q237" i="43"/>
  <c r="O237" i="43"/>
  <c r="Q236" i="43"/>
  <c r="O236" i="43"/>
  <c r="Q235" i="43"/>
  <c r="O235" i="43"/>
  <c r="O233" i="43"/>
  <c r="Q232" i="43"/>
  <c r="O232" i="43"/>
  <c r="O230" i="43"/>
  <c r="Q229" i="43"/>
  <c r="O229" i="43"/>
  <c r="O227" i="43"/>
  <c r="Q226" i="43"/>
  <c r="O226" i="43"/>
  <c r="Q225" i="43"/>
  <c r="O225" i="43"/>
  <c r="Q224" i="43"/>
  <c r="O224" i="43"/>
  <c r="Q223" i="43"/>
  <c r="O223" i="43"/>
  <c r="Q222" i="43"/>
  <c r="O222" i="43"/>
  <c r="Q221" i="43"/>
  <c r="O221" i="43"/>
  <c r="Q220" i="43"/>
  <c r="O220" i="43"/>
  <c r="Q219" i="43"/>
  <c r="O219" i="43"/>
  <c r="O216" i="43"/>
  <c r="Q215" i="43"/>
  <c r="O215" i="43"/>
  <c r="Q214" i="43"/>
  <c r="O214" i="43"/>
  <c r="Q213" i="43"/>
  <c r="O213" i="43"/>
  <c r="Q212" i="43"/>
  <c r="O212" i="43"/>
  <c r="Q211" i="43"/>
  <c r="O211" i="43"/>
  <c r="Q210" i="43"/>
  <c r="O210" i="43"/>
  <c r="Q209" i="43"/>
  <c r="O209" i="43"/>
  <c r="Q208" i="43"/>
  <c r="O208" i="43"/>
  <c r="Q207" i="43"/>
  <c r="O207" i="43"/>
  <c r="Q206" i="43"/>
  <c r="O206" i="43"/>
  <c r="Q204" i="43"/>
  <c r="O204" i="43"/>
  <c r="Q203" i="43"/>
  <c r="O203" i="43"/>
  <c r="Q202" i="43"/>
  <c r="O202" i="43"/>
  <c r="Q201" i="43"/>
  <c r="O201" i="43"/>
  <c r="Q200" i="43"/>
  <c r="O200" i="43"/>
  <c r="Q199" i="43"/>
  <c r="O199" i="43"/>
  <c r="Q198" i="43"/>
  <c r="O198" i="43"/>
  <c r="Q197" i="43"/>
  <c r="O197" i="43"/>
  <c r="Q195" i="43"/>
  <c r="O195" i="43"/>
  <c r="O194" i="43"/>
  <c r="Q193" i="43"/>
  <c r="O193" i="43"/>
  <c r="Q191" i="43"/>
  <c r="O191" i="43"/>
  <c r="Q190" i="43"/>
  <c r="O190" i="43"/>
  <c r="O189" i="43"/>
  <c r="Q188" i="43"/>
  <c r="O188" i="43"/>
  <c r="Q187" i="43"/>
  <c r="O187" i="43"/>
  <c r="Q186" i="43"/>
  <c r="O186" i="43"/>
  <c r="Q185" i="43"/>
  <c r="O185" i="43"/>
  <c r="Q184" i="43"/>
  <c r="O184" i="43"/>
  <c r="Q183" i="43"/>
  <c r="O183" i="43"/>
  <c r="Q182" i="43"/>
  <c r="O182" i="43"/>
  <c r="O180" i="43"/>
  <c r="Q179" i="43"/>
  <c r="O179" i="43"/>
  <c r="Q178" i="43"/>
  <c r="O178" i="43"/>
  <c r="Q177" i="43"/>
  <c r="O177" i="43"/>
  <c r="Q176" i="43"/>
  <c r="O176" i="43"/>
  <c r="Q175" i="43"/>
  <c r="O175" i="43"/>
  <c r="Q174" i="43"/>
  <c r="O174" i="43"/>
  <c r="Q173" i="43"/>
  <c r="O173" i="43"/>
  <c r="Q172" i="43"/>
  <c r="O172" i="43"/>
  <c r="Q171" i="43"/>
  <c r="O171" i="43"/>
  <c r="O170" i="43"/>
  <c r="Q169" i="43"/>
  <c r="O169" i="43"/>
  <c r="O167" i="43"/>
  <c r="Q166" i="43"/>
  <c r="O166" i="43"/>
  <c r="Q165" i="43"/>
  <c r="O165" i="43"/>
  <c r="O164" i="43"/>
  <c r="Q163" i="43"/>
  <c r="O163" i="43"/>
  <c r="Q162" i="43"/>
  <c r="O162" i="43"/>
  <c r="Q161" i="43"/>
  <c r="O161" i="43"/>
  <c r="Q160" i="43"/>
  <c r="O160" i="43"/>
  <c r="Q159" i="43"/>
  <c r="O159" i="43"/>
  <c r="Q157" i="43"/>
  <c r="O157" i="43"/>
  <c r="Q155" i="43"/>
  <c r="O155" i="43"/>
  <c r="O154" i="43"/>
  <c r="O153" i="43"/>
  <c r="Q152" i="43"/>
  <c r="O152" i="43"/>
  <c r="Q151" i="43"/>
  <c r="O151" i="43"/>
  <c r="Q150" i="43"/>
  <c r="O150" i="43"/>
  <c r="Q149" i="43"/>
  <c r="O149" i="43"/>
  <c r="O148" i="43"/>
  <c r="Q147" i="43"/>
  <c r="O147" i="43"/>
  <c r="Q145" i="43"/>
  <c r="O145" i="43"/>
  <c r="Q143" i="43"/>
  <c r="O143" i="43"/>
  <c r="Q142" i="43"/>
  <c r="O142" i="43"/>
  <c r="O141" i="43"/>
  <c r="Q140" i="43"/>
  <c r="O140" i="43"/>
  <c r="O139" i="43"/>
  <c r="O138" i="43"/>
  <c r="Q137" i="43"/>
  <c r="O137" i="43"/>
  <c r="Q136" i="43"/>
  <c r="O136" i="43"/>
  <c r="O135" i="43"/>
  <c r="Q134" i="43"/>
  <c r="O134" i="43"/>
  <c r="Q132" i="43"/>
  <c r="O132" i="43"/>
  <c r="Q131" i="43"/>
  <c r="O131" i="43"/>
  <c r="O130" i="43"/>
  <c r="Q129" i="43"/>
  <c r="O129" i="43"/>
  <c r="Q128" i="43"/>
  <c r="O128" i="43"/>
  <c r="Q127" i="43"/>
  <c r="O127" i="43"/>
  <c r="Q126" i="43"/>
  <c r="Q125" i="43"/>
  <c r="O125" i="43"/>
  <c r="Q124" i="43"/>
  <c r="O124" i="43"/>
  <c r="Q122" i="43"/>
  <c r="O122" i="43"/>
  <c r="Q121" i="43"/>
  <c r="O121" i="43"/>
  <c r="O120" i="43"/>
  <c r="Q119" i="43"/>
  <c r="O119" i="43"/>
  <c r="Q118" i="43"/>
  <c r="O118" i="43"/>
  <c r="Q117" i="43"/>
  <c r="O117" i="43"/>
  <c r="Q116" i="43"/>
  <c r="O116" i="43"/>
  <c r="Q115" i="43"/>
  <c r="O115" i="43"/>
  <c r="Q114" i="43"/>
  <c r="O114" i="43"/>
  <c r="Q113" i="43"/>
  <c r="O113" i="43"/>
  <c r="Q112" i="43"/>
  <c r="O112" i="43"/>
  <c r="Q110" i="43"/>
  <c r="O110" i="43"/>
  <c r="Q108" i="43"/>
  <c r="O108" i="43"/>
  <c r="Q107" i="43"/>
  <c r="O107" i="43"/>
  <c r="Q106" i="43"/>
  <c r="O106" i="43"/>
  <c r="Q105" i="43"/>
  <c r="O105" i="43"/>
  <c r="Q104" i="43"/>
  <c r="O104" i="43"/>
  <c r="Q103" i="43"/>
  <c r="O103" i="43"/>
  <c r="Q102" i="43"/>
  <c r="O102" i="43"/>
  <c r="Q101" i="43"/>
  <c r="O101" i="43"/>
  <c r="O100" i="43"/>
  <c r="Q99" i="43"/>
  <c r="O99" i="43"/>
  <c r="Q97" i="43"/>
  <c r="O97" i="43"/>
  <c r="Q96" i="43"/>
  <c r="O96" i="43"/>
  <c r="Q95" i="43"/>
  <c r="O95" i="43"/>
  <c r="Q92" i="43"/>
  <c r="O92" i="43"/>
  <c r="Q91" i="43"/>
  <c r="O91" i="43"/>
  <c r="Q90" i="43"/>
  <c r="O90" i="43"/>
  <c r="O89" i="43"/>
  <c r="Q88" i="43"/>
  <c r="O88" i="43"/>
  <c r="Q87" i="43"/>
  <c r="O87" i="43"/>
  <c r="Q86" i="43"/>
  <c r="O86" i="43"/>
  <c r="Q85" i="43"/>
  <c r="O85" i="43"/>
  <c r="Q84" i="43"/>
  <c r="O84" i="43"/>
  <c r="Q82" i="43"/>
  <c r="O82" i="43"/>
  <c r="Q80" i="43"/>
  <c r="O80" i="43"/>
  <c r="Q79" i="43"/>
  <c r="O79" i="43"/>
  <c r="Q78" i="43"/>
  <c r="O78" i="43"/>
  <c r="Q77" i="43"/>
  <c r="O77" i="43"/>
  <c r="Q76" i="43"/>
  <c r="O76" i="43"/>
  <c r="Q75" i="43"/>
  <c r="O75" i="43"/>
  <c r="Q74" i="43"/>
  <c r="O74" i="43"/>
  <c r="Q73" i="43"/>
  <c r="O73" i="43"/>
  <c r="O72" i="43"/>
  <c r="Q71" i="43"/>
  <c r="O71" i="43"/>
  <c r="Q69" i="43"/>
  <c r="O69" i="43"/>
  <c r="Q67" i="43"/>
  <c r="O67" i="43"/>
  <c r="Q66" i="43"/>
  <c r="O66" i="43"/>
  <c r="Q65" i="43"/>
  <c r="O65" i="43"/>
  <c r="Q64" i="43"/>
  <c r="O64" i="43"/>
  <c r="O62" i="43"/>
  <c r="O61" i="43"/>
  <c r="Q60" i="43"/>
  <c r="O60" i="43"/>
  <c r="Q59" i="43"/>
  <c r="O59" i="43"/>
  <c r="Q58" i="43"/>
  <c r="O58" i="43"/>
  <c r="Q57" i="43"/>
  <c r="O57" i="43"/>
  <c r="O56" i="43"/>
  <c r="Q55" i="43"/>
  <c r="O55" i="43"/>
  <c r="Q52" i="43"/>
  <c r="O52" i="43"/>
  <c r="Q50" i="43"/>
  <c r="O50" i="43"/>
  <c r="Q47" i="43"/>
  <c r="O47" i="43"/>
  <c r="O46" i="43"/>
  <c r="Q45" i="43"/>
  <c r="O45" i="43"/>
  <c r="Q44" i="43"/>
  <c r="O44" i="43"/>
  <c r="Q43" i="43"/>
  <c r="O43" i="43"/>
  <c r="Q42" i="43"/>
  <c r="O42" i="43"/>
  <c r="Q41" i="43"/>
  <c r="O41" i="43"/>
  <c r="Q40" i="43"/>
  <c r="O40" i="43"/>
  <c r="Q39" i="43"/>
  <c r="O39" i="43"/>
  <c r="Q38" i="43"/>
  <c r="O38" i="43"/>
  <c r="Q36" i="43"/>
  <c r="O36" i="43"/>
  <c r="Q35" i="43"/>
  <c r="O35" i="43"/>
  <c r="Q34" i="43"/>
  <c r="O34" i="43"/>
  <c r="Q33" i="43"/>
  <c r="O33" i="43"/>
  <c r="Q32" i="43"/>
  <c r="O32" i="43"/>
  <c r="O31" i="43"/>
  <c r="Q30" i="43"/>
  <c r="O30" i="43"/>
  <c r="Q28" i="43"/>
  <c r="O28" i="43"/>
  <c r="Q26" i="43"/>
  <c r="O26" i="43"/>
  <c r="Q25" i="43"/>
  <c r="O25" i="43"/>
  <c r="Q24" i="43"/>
  <c r="O24" i="43"/>
  <c r="Q23" i="43"/>
  <c r="O23" i="43"/>
  <c r="Q22" i="43"/>
  <c r="O22" i="43"/>
  <c r="Q21" i="43"/>
  <c r="O21" i="43"/>
  <c r="Q20" i="43"/>
  <c r="O20" i="43"/>
  <c r="Q19" i="43"/>
  <c r="O19" i="43"/>
  <c r="Q18" i="43"/>
  <c r="O18" i="43"/>
  <c r="Q17" i="43"/>
  <c r="O17" i="43"/>
  <c r="Q14" i="43"/>
  <c r="O14" i="43"/>
  <c r="Q13" i="43"/>
  <c r="O13" i="43"/>
  <c r="Q12" i="43"/>
  <c r="O12" i="43"/>
  <c r="Q11" i="43"/>
  <c r="O11" i="43"/>
  <c r="Q10" i="43"/>
  <c r="O10" i="43"/>
  <c r="Q9" i="43"/>
  <c r="O9" i="43"/>
  <c r="Q8" i="43"/>
  <c r="O8" i="43"/>
  <c r="Q7" i="43"/>
  <c r="O7" i="43"/>
  <c r="O6" i="43"/>
  <c r="Q5" i="43"/>
  <c r="O5" i="43"/>
  <c r="Q2" i="43"/>
  <c r="O2" i="43"/>
  <c r="Q491" i="43" l="1"/>
  <c r="O491" i="43"/>
  <c r="O495" i="43" l="1"/>
  <c r="O500" i="43"/>
  <c r="Q495" i="43"/>
  <c r="Q500" i="43"/>
  <c r="B23" i="41" l="1"/>
  <c r="B6" i="41"/>
  <c r="M30" i="28" l="1"/>
  <c r="L47" i="33" l="1"/>
  <c r="E40" i="40" s="1"/>
  <c r="L42" i="8" l="1"/>
  <c r="E16" i="40" s="1"/>
  <c r="M42" i="8" l="1"/>
  <c r="F16" i="40" s="1"/>
  <c r="L38" i="27"/>
  <c r="E34" i="40" s="1"/>
  <c r="E42" i="40" s="1"/>
  <c r="C10" i="42" s="1"/>
  <c r="C9" i="42" l="1"/>
  <c r="C14" i="42"/>
  <c r="M38" i="27"/>
  <c r="F34" i="40" s="1"/>
  <c r="F42" i="40" s="1"/>
  <c r="D10" i="42" s="1"/>
  <c r="D14" i="42" s="1"/>
  <c r="D9" i="42" l="1"/>
  <c r="S15" i="24" l="1"/>
  <c r="O15" i="24" s="1"/>
  <c r="P15" i="24" l="1"/>
  <c r="Q15" i="24" l="1"/>
  <c r="S56" i="15" l="1"/>
  <c r="O56" i="15" s="1"/>
  <c r="S10" i="23"/>
  <c r="O10" i="23" s="1"/>
  <c r="S13" i="20"/>
  <c r="O13" i="20" s="1"/>
  <c r="S12" i="19"/>
  <c r="O12" i="19" s="1"/>
  <c r="S5" i="18"/>
  <c r="O5" i="18" s="1"/>
  <c r="S5" i="16"/>
  <c r="O5" i="16" s="1"/>
  <c r="S5" i="14"/>
  <c r="O5" i="14" s="1"/>
  <c r="S10" i="13"/>
  <c r="O10" i="13" s="1"/>
  <c r="S5" i="21"/>
  <c r="O5" i="21" s="1"/>
  <c r="S10" i="22"/>
  <c r="O10" i="22" s="1"/>
  <c r="S15" i="19"/>
  <c r="O15" i="19" s="1"/>
  <c r="P15" i="19" s="1"/>
  <c r="Q15" i="19" s="1"/>
  <c r="S8" i="14"/>
  <c r="O8" i="14" s="1"/>
  <c r="P8" i="14" s="1"/>
  <c r="Q8" i="14" s="1"/>
  <c r="P10" i="13" l="1"/>
  <c r="P5" i="14"/>
  <c r="P56" i="15"/>
  <c r="P5" i="16"/>
  <c r="P5" i="21"/>
  <c r="P5" i="18"/>
  <c r="P12" i="19"/>
  <c r="P13" i="20"/>
  <c r="P10" i="22"/>
  <c r="P10" i="23"/>
  <c r="S17" i="24"/>
  <c r="O17" i="24" s="1"/>
  <c r="P17" i="24" s="1"/>
  <c r="Q10" i="13" l="1"/>
  <c r="Q5" i="14"/>
  <c r="Q56" i="15"/>
  <c r="Q5" i="16"/>
  <c r="Q5" i="21"/>
  <c r="Q5" i="18"/>
  <c r="Q12" i="19"/>
  <c r="Q13" i="20"/>
  <c r="Q10" i="22"/>
  <c r="Q10" i="23"/>
  <c r="Q17" i="24"/>
  <c r="S7" i="18" l="1"/>
  <c r="O7" i="18" s="1"/>
  <c r="P7" i="18" l="1"/>
  <c r="Q7" i="18" l="1"/>
  <c r="S8" i="21" l="1"/>
  <c r="O8" i="21" s="1"/>
  <c r="P8" i="21" l="1"/>
  <c r="Q8" i="21" l="1"/>
  <c r="S11" i="18" l="1"/>
  <c r="O11" i="18" s="1"/>
  <c r="P11" i="18" s="1"/>
  <c r="Q11" i="18" s="1"/>
  <c r="S7" i="25" l="1"/>
  <c r="O7" i="25" s="1"/>
  <c r="P7" i="25" s="1"/>
  <c r="Q7" i="25" s="1"/>
  <c r="S12" i="18" l="1"/>
  <c r="O12" i="18" s="1"/>
  <c r="P12" i="18" s="1"/>
  <c r="Q12" i="18" s="1"/>
  <c r="S8" i="16" l="1"/>
  <c r="O8" i="16" s="1"/>
  <c r="S12" i="22"/>
  <c r="O12" i="22" s="1"/>
  <c r="S16" i="20"/>
  <c r="O16" i="20" s="1"/>
  <c r="P8" i="16" l="1"/>
  <c r="P16" i="20"/>
  <c r="P12" i="22"/>
  <c r="Q8" i="16" l="1"/>
  <c r="Q16" i="20"/>
  <c r="Q12" i="22"/>
  <c r="S12" i="23" l="1"/>
  <c r="O12" i="23" s="1"/>
  <c r="P12" i="23" l="1"/>
  <c r="S5" i="25"/>
  <c r="O5" i="25" s="1"/>
  <c r="S13" i="13"/>
  <c r="O13" i="13" s="1"/>
  <c r="S16" i="13"/>
  <c r="O16" i="13" s="1"/>
  <c r="P16" i="13" s="1"/>
  <c r="Q16" i="13" s="1"/>
  <c r="S17" i="13"/>
  <c r="O17" i="13" s="1"/>
  <c r="P17" i="13" s="1"/>
  <c r="Q17" i="13" s="1"/>
  <c r="S15" i="17"/>
  <c r="O15" i="17" s="1"/>
  <c r="S18" i="17"/>
  <c r="O18" i="17" s="1"/>
  <c r="P18" i="17" s="1"/>
  <c r="Q18" i="17" s="1"/>
  <c r="S19" i="17"/>
  <c r="O19" i="17" s="1"/>
  <c r="P19" i="17" s="1"/>
  <c r="Q19" i="17" s="1"/>
  <c r="S20" i="17"/>
  <c r="O20" i="17" s="1"/>
  <c r="P20" i="17" s="1"/>
  <c r="Q20" i="17" s="1"/>
  <c r="S63" i="15"/>
  <c r="O63" i="15" s="1"/>
  <c r="P63" i="15" s="1"/>
  <c r="Q63" i="15" s="1"/>
  <c r="S64" i="15"/>
  <c r="O64" i="15" s="1"/>
  <c r="P64" i="15" s="1"/>
  <c r="Q64" i="15" s="1"/>
  <c r="S65" i="15"/>
  <c r="O65" i="15" s="1"/>
  <c r="P65" i="15" s="1"/>
  <c r="Q65" i="15" s="1"/>
  <c r="P13" i="13" l="1"/>
  <c r="P15" i="17"/>
  <c r="Q12" i="23"/>
  <c r="P5" i="25"/>
  <c r="S13" i="14"/>
  <c r="O13" i="14" s="1"/>
  <c r="P13" i="14" s="1"/>
  <c r="Q13" i="14" s="1"/>
  <c r="Q13" i="13" l="1"/>
  <c r="Q15" i="17"/>
  <c r="Q5" i="25"/>
  <c r="S12" i="14" l="1"/>
  <c r="O12" i="14" s="1"/>
  <c r="P12" i="14" s="1"/>
  <c r="Q12" i="14" s="1"/>
  <c r="S14" i="14" l="1"/>
  <c r="O14" i="14" s="1"/>
  <c r="P14" i="14" s="1"/>
  <c r="Q14" i="14" s="1"/>
  <c r="S11" i="16" l="1"/>
  <c r="O11" i="16" s="1"/>
  <c r="P11" i="16" s="1"/>
  <c r="Q11" i="16" s="1"/>
  <c r="S12" i="16" l="1"/>
  <c r="O12" i="16" s="1"/>
  <c r="P12" i="16" s="1"/>
  <c r="Q12" i="16" s="1"/>
  <c r="S14" i="16"/>
  <c r="O14" i="16" s="1"/>
  <c r="P14" i="16" s="1"/>
  <c r="Q14" i="16" s="1"/>
  <c r="S19" i="19" l="1"/>
  <c r="O19" i="19" s="1"/>
  <c r="P19" i="19" s="1"/>
  <c r="Q19" i="19" s="1"/>
  <c r="S20" i="20"/>
  <c r="O20" i="20" s="1"/>
  <c r="P20" i="20" s="1"/>
  <c r="Q20" i="20" s="1"/>
  <c r="S22" i="20" l="1"/>
  <c r="O22" i="20" s="1"/>
  <c r="P22" i="20" s="1"/>
  <c r="Q22" i="20" s="1"/>
  <c r="S21" i="20" l="1"/>
  <c r="O21" i="20" s="1"/>
  <c r="P21" i="20" s="1"/>
  <c r="Q21" i="20" s="1"/>
  <c r="S15" i="25" l="1"/>
  <c r="O15" i="25" s="1"/>
  <c r="P15" i="25" s="1"/>
  <c r="Q15" i="25" s="1"/>
  <c r="S29" i="17" l="1"/>
  <c r="O29" i="17" s="1"/>
  <c r="P29" i="17" s="1"/>
  <c r="Q29" i="17" s="1"/>
  <c r="S28" i="24"/>
  <c r="O28" i="24" s="1"/>
  <c r="P28" i="24" s="1"/>
  <c r="Q28" i="24" s="1"/>
  <c r="S16" i="18"/>
  <c r="O16" i="18" s="1"/>
  <c r="P16" i="18" s="1"/>
  <c r="Q16" i="18" s="1"/>
  <c r="S21" i="22"/>
  <c r="O21" i="22" s="1"/>
  <c r="P21" i="22" s="1"/>
  <c r="Q21" i="22" s="1"/>
  <c r="S24" i="13"/>
  <c r="O24" i="13" s="1"/>
  <c r="P24" i="13" s="1"/>
  <c r="Q24" i="13" s="1"/>
  <c r="S18" i="14"/>
  <c r="O18" i="14" s="1"/>
  <c r="P18" i="14" s="1"/>
  <c r="Q18" i="14" s="1"/>
  <c r="S18" i="16"/>
  <c r="O18" i="16" s="1"/>
  <c r="P18" i="16" s="1"/>
  <c r="Q18" i="16" s="1"/>
  <c r="S17" i="21"/>
  <c r="O17" i="21" s="1"/>
  <c r="P17" i="21" s="1"/>
  <c r="Q17" i="21" s="1"/>
  <c r="S26" i="19"/>
  <c r="O26" i="19" s="1"/>
  <c r="P26" i="19" s="1"/>
  <c r="Q26" i="19" s="1"/>
  <c r="S71" i="15"/>
  <c r="O71" i="15" s="1"/>
  <c r="P71" i="15" s="1"/>
  <c r="Q71" i="15" s="1"/>
  <c r="S28" i="17" l="1"/>
  <c r="O28" i="17" s="1"/>
  <c r="P28" i="17" s="1"/>
  <c r="Q28" i="17" s="1"/>
  <c r="S22" i="23"/>
  <c r="O22" i="23" s="1"/>
  <c r="P22" i="23" s="1"/>
  <c r="Q22" i="23" s="1"/>
  <c r="S10" i="14" l="1"/>
  <c r="O10" i="14" s="1"/>
  <c r="S20" i="19"/>
  <c r="O20" i="19" s="1"/>
  <c r="P20" i="19" s="1"/>
  <c r="Q20" i="19" s="1"/>
  <c r="P10" i="14" l="1"/>
  <c r="S16" i="14"/>
  <c r="O16" i="14" s="1"/>
  <c r="P16" i="14" s="1"/>
  <c r="Q16" i="14" s="1"/>
  <c r="O45" i="14" l="1"/>
  <c r="H21" i="40" s="1"/>
  <c r="Q10" i="14"/>
  <c r="Q45" i="14" s="1"/>
  <c r="J21" i="40" s="1"/>
  <c r="P45" i="14"/>
  <c r="I21" i="40" s="1"/>
  <c r="S27" i="20"/>
  <c r="O27" i="20" s="1"/>
  <c r="P27" i="20" s="1"/>
  <c r="Q27" i="20" s="1"/>
  <c r="S10" i="25" l="1"/>
  <c r="O10" i="25" s="1"/>
  <c r="P10" i="25" s="1"/>
  <c r="Q10" i="25" s="1"/>
  <c r="S11" i="21"/>
  <c r="O11" i="21" s="1"/>
  <c r="P11" i="21" s="1"/>
  <c r="Q11" i="21" s="1"/>
  <c r="S12" i="21"/>
  <c r="O12" i="21" s="1"/>
  <c r="P12" i="21" s="1"/>
  <c r="Q12" i="21" s="1"/>
  <c r="S13" i="21"/>
  <c r="O13" i="21" s="1"/>
  <c r="P13" i="21" s="1"/>
  <c r="Q13" i="21" s="1"/>
  <c r="S14" i="18" l="1"/>
  <c r="O14" i="18" s="1"/>
  <c r="P14" i="18" s="1"/>
  <c r="Q14" i="18" s="1"/>
  <c r="S18" i="22"/>
  <c r="O18" i="22" s="1"/>
  <c r="P18" i="22" s="1"/>
  <c r="Q18" i="22" s="1"/>
  <c r="S15" i="21"/>
  <c r="O15" i="21" s="1"/>
  <c r="P15" i="21" s="1"/>
  <c r="Q15" i="21" s="1"/>
  <c r="S13" i="25"/>
  <c r="O13" i="25" s="1"/>
  <c r="P13" i="25" s="1"/>
  <c r="Q13" i="25" s="1"/>
  <c r="S21" i="13"/>
  <c r="O21" i="13" s="1"/>
  <c r="P21" i="13" s="1"/>
  <c r="Q21" i="13" s="1"/>
  <c r="S24" i="17" l="1"/>
  <c r="O24" i="17" s="1"/>
  <c r="P24" i="17" s="1"/>
  <c r="Q24" i="17" s="1"/>
  <c r="S25" i="24"/>
  <c r="O25" i="24" s="1"/>
  <c r="P25" i="24" s="1"/>
  <c r="Q25" i="24" s="1"/>
  <c r="S68" i="15"/>
  <c r="O68" i="15" s="1"/>
  <c r="P68" i="15" s="1"/>
  <c r="Q68" i="15" s="1"/>
  <c r="S25" i="17" l="1"/>
  <c r="O25" i="17" s="1"/>
  <c r="P25" i="17" s="1"/>
  <c r="Q25" i="17" s="1"/>
  <c r="S19" i="23"/>
  <c r="O19" i="23" s="1"/>
  <c r="P19" i="23" s="1"/>
  <c r="Q19" i="23" s="1"/>
  <c r="S24" i="20"/>
  <c r="O24" i="20" s="1"/>
  <c r="P24" i="20" s="1"/>
  <c r="Q24" i="20" s="1"/>
  <c r="S23" i="19"/>
  <c r="O23" i="19" s="1"/>
  <c r="P23" i="19" s="1"/>
  <c r="Q23" i="19" s="1"/>
  <c r="S16" i="16"/>
  <c r="O16" i="16" s="1"/>
  <c r="P16" i="16" s="1"/>
  <c r="Q16" i="16" s="1"/>
  <c r="S14" i="13"/>
  <c r="O14" i="13" s="1"/>
  <c r="P14" i="13" l="1"/>
  <c r="O42" i="13"/>
  <c r="H20" i="40" s="1"/>
  <c r="S9" i="18"/>
  <c r="O9" i="18" s="1"/>
  <c r="S9" i="21"/>
  <c r="O9" i="21" s="1"/>
  <c r="S14" i="23"/>
  <c r="O14" i="23" s="1"/>
  <c r="S14" i="22"/>
  <c r="O14" i="22" s="1"/>
  <c r="S9" i="16"/>
  <c r="O9" i="16" s="1"/>
  <c r="S18" i="20"/>
  <c r="O18" i="20" s="1"/>
  <c r="S8" i="25"/>
  <c r="O8" i="25" s="1"/>
  <c r="Q14" i="13" l="1"/>
  <c r="Q42" i="13" s="1"/>
  <c r="J20" i="40" s="1"/>
  <c r="P42" i="13"/>
  <c r="I20" i="40" s="1"/>
  <c r="P9" i="16"/>
  <c r="O35" i="16"/>
  <c r="H23" i="40" s="1"/>
  <c r="P9" i="21"/>
  <c r="O27" i="21"/>
  <c r="H25" i="40" s="1"/>
  <c r="P9" i="18"/>
  <c r="O26" i="18"/>
  <c r="H26" i="40" s="1"/>
  <c r="P18" i="20"/>
  <c r="O38" i="20"/>
  <c r="H28" i="40" s="1"/>
  <c r="P14" i="22"/>
  <c r="O29" i="22"/>
  <c r="H29" i="40" s="1"/>
  <c r="P14" i="23"/>
  <c r="O27" i="23"/>
  <c r="H30" i="40" s="1"/>
  <c r="S19" i="24"/>
  <c r="O19" i="24" s="1"/>
  <c r="P19" i="24" s="1"/>
  <c r="P8" i="25"/>
  <c r="O26" i="25"/>
  <c r="H32" i="40" s="1"/>
  <c r="S17" i="19"/>
  <c r="O17" i="19" s="1"/>
  <c r="S16" i="17"/>
  <c r="O16" i="17" s="1"/>
  <c r="S61" i="15"/>
  <c r="O61" i="15" s="1"/>
  <c r="P61" i="15" s="1"/>
  <c r="Q61" i="15" s="1"/>
  <c r="Q9" i="16" l="1"/>
  <c r="Q35" i="16" s="1"/>
  <c r="J23" i="40" s="1"/>
  <c r="P35" i="16"/>
  <c r="I23" i="40" s="1"/>
  <c r="P16" i="17"/>
  <c r="O51" i="17"/>
  <c r="H24" i="40" s="1"/>
  <c r="Q9" i="21"/>
  <c r="Q27" i="21" s="1"/>
  <c r="J25" i="40" s="1"/>
  <c r="P27" i="21"/>
  <c r="I25" i="40" s="1"/>
  <c r="Q9" i="18"/>
  <c r="Q26" i="18" s="1"/>
  <c r="J26" i="40" s="1"/>
  <c r="P26" i="18"/>
  <c r="I26" i="40" s="1"/>
  <c r="P17" i="19"/>
  <c r="O36" i="19"/>
  <c r="H27" i="40" s="1"/>
  <c r="Q18" i="20"/>
  <c r="Q38" i="20" s="1"/>
  <c r="J28" i="40" s="1"/>
  <c r="P38" i="20"/>
  <c r="I28" i="40" s="1"/>
  <c r="Q14" i="22"/>
  <c r="Q29" i="22" s="1"/>
  <c r="J29" i="40" s="1"/>
  <c r="P29" i="22"/>
  <c r="I29" i="40" s="1"/>
  <c r="Q14" i="23"/>
  <c r="Q27" i="23" s="1"/>
  <c r="J30" i="40" s="1"/>
  <c r="P27" i="23"/>
  <c r="I30" i="40" s="1"/>
  <c r="O34" i="24"/>
  <c r="H31" i="40" s="1"/>
  <c r="Q19" i="24"/>
  <c r="Q34" i="24" s="1"/>
  <c r="J31" i="40" s="1"/>
  <c r="P34" i="24"/>
  <c r="I31" i="40" s="1"/>
  <c r="Q8" i="25"/>
  <c r="Q26" i="25" s="1"/>
  <c r="J32" i="40" s="1"/>
  <c r="P26" i="25"/>
  <c r="I32" i="40" s="1"/>
  <c r="Q16" i="17" l="1"/>
  <c r="Q51" i="17" s="1"/>
  <c r="J24" i="40" s="1"/>
  <c r="P51" i="17"/>
  <c r="I24" i="40" s="1"/>
  <c r="Q17" i="19"/>
  <c r="Q36" i="19" s="1"/>
  <c r="J27" i="40" s="1"/>
  <c r="P36" i="19"/>
  <c r="I27" i="40" s="1"/>
  <c r="S59" i="15" l="1"/>
  <c r="O59" i="15" s="1"/>
  <c r="P59" i="15" l="1"/>
  <c r="O96" i="15"/>
  <c r="H22" i="40" s="1"/>
  <c r="H42" i="40" s="1"/>
  <c r="F10" i="42" s="1"/>
  <c r="F9" i="42" l="1"/>
  <c r="F14" i="42"/>
  <c r="Q59" i="15"/>
  <c r="Q96" i="15" s="1"/>
  <c r="J22" i="40" s="1"/>
  <c r="J42" i="40" s="1"/>
  <c r="H10" i="42" s="1"/>
  <c r="P96" i="15"/>
  <c r="I22" i="40" s="1"/>
  <c r="I42" i="40" s="1"/>
  <c r="G10" i="42" s="1"/>
  <c r="G14" i="42" l="1"/>
  <c r="G9" i="42"/>
  <c r="H14" i="42"/>
  <c r="H9" i="42"/>
</calcChain>
</file>

<file path=xl/sharedStrings.xml><?xml version="1.0" encoding="utf-8"?>
<sst xmlns="http://schemas.openxmlformats.org/spreadsheetml/2006/main" count="16280" uniqueCount="2344">
  <si>
    <t>PROJECT</t>
  </si>
  <si>
    <t>FUND</t>
  </si>
  <si>
    <t>ITEM</t>
  </si>
  <si>
    <t>FUNCTION</t>
  </si>
  <si>
    <t>REGIONAL</t>
  </si>
  <si>
    <t>COST</t>
  </si>
  <si>
    <t>Municipal Standard Classification</t>
  </si>
  <si>
    <t>No budget</t>
  </si>
  <si>
    <t>Total check</t>
  </si>
  <si>
    <t>Detail Lines</t>
  </si>
  <si>
    <t>O0001/IE00060/F0041/X046/R0229/001/6053</t>
  </si>
  <si>
    <t>Municipal Running Cost</t>
  </si>
  <si>
    <t>Equitable Share</t>
  </si>
  <si>
    <t>Accommodation</t>
  </si>
  <si>
    <t>Administrative and Corporate Support</t>
  </si>
  <si>
    <t>Administrative or Head Office (Including Satellite Offices)</t>
  </si>
  <si>
    <t>Default</t>
  </si>
  <si>
    <t>SENIOR MANAGEMENT</t>
  </si>
  <si>
    <t>true</t>
  </si>
  <si>
    <t>O0001/IE00061/F0041/X046/R0229/001/6053</t>
  </si>
  <si>
    <t>Daily Allowance</t>
  </si>
  <si>
    <t>O0001/IE00062/F0041/X046/R0229/001/6053</t>
  </si>
  <si>
    <t>Food and Beverage (Served)</t>
  </si>
  <si>
    <t>O0001/IE00063/F0041/X046/R0229/001/6053</t>
  </si>
  <si>
    <t>Incidental Cost</t>
  </si>
  <si>
    <t>O0001/IE00143/F0041/X046/R0229/001/6053</t>
  </si>
  <si>
    <t>Car Rental</t>
  </si>
  <si>
    <t>O0001/IE00144/F0041/X046/R0229/001/6053</t>
  </si>
  <si>
    <t>Own Transport</t>
  </si>
  <si>
    <t>O0001/IE00595/F0041/X046/R0229/001/6053</t>
  </si>
  <si>
    <t>Skills Development Fund Levy</t>
  </si>
  <si>
    <t>O0001/IE01581/F0041/X046/R0229/001/6053</t>
  </si>
  <si>
    <t>Air Transport</t>
  </si>
  <si>
    <t>O0001/IE06074/F0041/X046/R0229/001/6053</t>
  </si>
  <si>
    <t>Basic Salary</t>
  </si>
  <si>
    <t>O0001/IE06193/F0041/X046/R0229/001/6053</t>
  </si>
  <si>
    <t>Medical</t>
  </si>
  <si>
    <t>Administrative or Head O</t>
  </si>
  <si>
    <t>false</t>
  </si>
  <si>
    <t>O0001/IE06194/F0041/X046/R0229/001/6053</t>
  </si>
  <si>
    <t>O0001/IE06236/F0041/X046/R0229/001/6053</t>
  </si>
  <si>
    <t>Pension</t>
  </si>
  <si>
    <t>O0001/IE06266/F0041/X046/R0229/001/6053</t>
  </si>
  <si>
    <t>Unemployment Insurance</t>
  </si>
  <si>
    <t>O0001/IE06833/F0041/X046/R0229/001/6053</t>
  </si>
  <si>
    <t>Cellular and Telephone</t>
  </si>
  <si>
    <t>O0001/IE06910/F0041/X046/R0229/001/6053</t>
  </si>
  <si>
    <t>Travel or Motor Vehicle</t>
  </si>
  <si>
    <t>O0001/IE07161/F0041/X046/R0229/001/6053</t>
  </si>
  <si>
    <t>O0001/IE00043/F0041/X006/R0229/001/6053</t>
  </si>
  <si>
    <t>Community Halls and Facilities</t>
  </si>
  <si>
    <t>O0001/IE01534/F0041/X006/R0229/001/6053</t>
  </si>
  <si>
    <t>O0001/IE06203/F0041/X006/R0229/001/6053</t>
  </si>
  <si>
    <t>O0001/IE06233/F0041/X006/R0229/001/6053</t>
  </si>
  <si>
    <t>O0001/IE06820/F0041/X006/R0229/001/6053</t>
  </si>
  <si>
    <t>O0001/IE00060/F0041/X006/R0229/001/6053</t>
  </si>
  <si>
    <t>O0001/IE00061/F0041/X006/R0229/001/6053</t>
  </si>
  <si>
    <t>O0001/IE00062/F0041/X006/R0229/001/6053</t>
  </si>
  <si>
    <t>O0001/IE00063/F0041/X006/R0229/001/6053</t>
  </si>
  <si>
    <t>O0001/IE00143/F0041/X006/R0229/001/6053</t>
  </si>
  <si>
    <t>O0001/IE00144/F0041/X006/R0229/001/6053</t>
  </si>
  <si>
    <t>O0001/IE00595/F0041/X006/R0229/001/6053</t>
  </si>
  <si>
    <t>O0001/IE01581/F0041/X006/R0229/001/6053</t>
  </si>
  <si>
    <t>O0001/IE06076/F0041/X006/R0229/001/6053</t>
  </si>
  <si>
    <t>O0001/IE06235/F0041/X006/R0229/001/6053</t>
  </si>
  <si>
    <t>O0001/IE06260/F0041/X006/R0229/001/6053</t>
  </si>
  <si>
    <t>O0001/IE06912/F0041/X006/R0229/001/6053</t>
  </si>
  <si>
    <t>O0001/IE07163/F0041/X006/R0229/001/6053</t>
  </si>
  <si>
    <t>O0001/IE06193/F0041/X096/R0229/001/6053</t>
  </si>
  <si>
    <t>Corporate Wide Strategic Planning (IDPs, LEDs)</t>
  </si>
  <si>
    <t>O0001/IE06196/F0041/X096/R0229/001/6053</t>
  </si>
  <si>
    <t>O0001/IE06827/F0041/X096/R0229/001/6053</t>
  </si>
  <si>
    <t>O0001/IE00060/F0041/X096/R0229/001/6053</t>
  </si>
  <si>
    <t>O0001/IE00061/F0041/X096/R0229/001/6053</t>
  </si>
  <si>
    <t>O0001/IE00062/F0041/X096/R0229/001/6053</t>
  </si>
  <si>
    <t>O0001/IE00063/F0041/X096/R0229/001/6053</t>
  </si>
  <si>
    <t>O0001/IE00143/F0041/X096/R0229/001/6053</t>
  </si>
  <si>
    <t>O0001/IE00144/F0041/X096/R0229/001/6053</t>
  </si>
  <si>
    <t>O0001/IE00595/F0041/X096/R0229/001/6053</t>
  </si>
  <si>
    <t>O0001/IE01581/F0041/X096/R0229/001/6053</t>
  </si>
  <si>
    <t>O0001/IE06075/F0041/X096/R0229/001/6053</t>
  </si>
  <si>
    <t>O0001/IE06233/F0041/X096/R0229/001/6053</t>
  </si>
  <si>
    <t>O0001/IE06262/F0041/X096/R0229/001/6053</t>
  </si>
  <si>
    <t>O0001/IE06919/F0041/X096/R0229/001/6053</t>
  </si>
  <si>
    <t>O0001/IE07161/F0041/X096/R0229/001/6053</t>
  </si>
  <si>
    <t>O0001/IE06982/F0041/X098/R0229/001/6053</t>
  </si>
  <si>
    <t>Acting and Post Related</t>
  </si>
  <si>
    <t>Economic Development/Pla</t>
  </si>
  <si>
    <t>O0001/IE00060/F0041/X049/R0229/001/6053</t>
  </si>
  <si>
    <t>Operational Revenue</t>
  </si>
  <si>
    <t>Finance</t>
  </si>
  <si>
    <t>O0001/IE00061/F0041/X049/R0229/001/6053</t>
  </si>
  <si>
    <t>O0001/IE00062/F0041/X049/R0229/001/6053</t>
  </si>
  <si>
    <t>O0001/IE00063/F0041/X049/R0229/001/6053</t>
  </si>
  <si>
    <t>O0001/IE00143/F0041/X049/R0229/001/6053</t>
  </si>
  <si>
    <t>O0001/IE00144/F0041/X049/R0229/001/6053</t>
  </si>
  <si>
    <t>O0001/IE00595/F0041/X049/R0229/001/6053</t>
  </si>
  <si>
    <t>O0001/IE01581/F0041/X049/R0229/001/6053</t>
  </si>
  <si>
    <t>O0001/IE06059/F0041/X049/R0229/001/6053</t>
  </si>
  <si>
    <t>O0001/IE06067/F0041/X049/R0229/001/6053</t>
  </si>
  <si>
    <t>O0001/IE06069/F0041/X049/R0229/001/6053</t>
  </si>
  <si>
    <t>O0001/IE06071/F0041/X049/R0229/001/6053</t>
  </si>
  <si>
    <t>O0001/IE06766/F0041/X049/R0229/001/6053</t>
  </si>
  <si>
    <t>O0001/IE06772/F0041/X049/R0229/001/6053</t>
  </si>
  <si>
    <t>O0001/IE06776/F0041/X049/R0229/001/6053</t>
  </si>
  <si>
    <t>O0001/IE06788/F0041/X049/R0229/001/6053</t>
  </si>
  <si>
    <t>O0001/IE00136/F0041/X045/R0229/001/6053</t>
  </si>
  <si>
    <t>Municipal Manager, Town Secretary and Chief Executive</t>
  </si>
  <si>
    <t>O0001/IE01558/F0041/X045/R0229/001/6053</t>
  </si>
  <si>
    <t>O0001/IE00060/F0041/X045/R0229/001/6053</t>
  </si>
  <si>
    <t>O0001/IE00061/F0041/X045/R0229/001/6053</t>
  </si>
  <si>
    <t>O0001/IE00062/F0041/X045/R0229/001/6053</t>
  </si>
  <si>
    <t>O0001/IE00063/F0041/X045/R0229/001/6053</t>
  </si>
  <si>
    <t>O0001/IE00128/F0041/X045/R0229/001/6053</t>
  </si>
  <si>
    <t>O0001/IE00138/F0041/X045/R0229/001/6053</t>
  </si>
  <si>
    <t>O0001/IE00140/F0041/X045/R0229/001/6053</t>
  </si>
  <si>
    <t>O0001/IE00143/F0041/X045/R0229/001/6053</t>
  </si>
  <si>
    <t>O0001/IE00144/F0041/X045/R0229/001/6053</t>
  </si>
  <si>
    <t>O0001/IE00595/F0041/X045/R0229/001/6053</t>
  </si>
  <si>
    <t>O0001/IE00783/F0041/X045/R0415/001/6053</t>
  </si>
  <si>
    <t>Senior Management</t>
  </si>
  <si>
    <t>Administrative or Head Office</t>
  </si>
  <si>
    <t>O0001/IE01564/F0041/X045/R0229/001/6053</t>
  </si>
  <si>
    <t>O0001/IE01579/F0041/X045/R0229/001/6053</t>
  </si>
  <si>
    <t>O0001/IE01581/F0041/X045/R0229/001/6053</t>
  </si>
  <si>
    <t>O0001/IE00060/F0041/X116/R0229/001/6053</t>
  </si>
  <si>
    <t>Roads</t>
  </si>
  <si>
    <t>O0001/IE00061/F0041/X116/R0229/001/6053</t>
  </si>
  <si>
    <t>O0001/IE00062/F0041/X116/R0229/001/6053</t>
  </si>
  <si>
    <t>O0001/IE00063/F0041/X116/R0229/001/6053</t>
  </si>
  <si>
    <t>O0001/IE00143/F0041/X116/R0229/001/6053</t>
  </si>
  <si>
    <t>O0001/IE00144/F0041/X116/R0229/001/6053</t>
  </si>
  <si>
    <t>O0001/IE00595/F0041/X116/R0229/001/6053</t>
  </si>
  <si>
    <t>O0001/IE01581/F0041/X116/R0229/001/6053</t>
  </si>
  <si>
    <t>O0001/IE06079/F0041/X116/R0229/001/6053</t>
  </si>
  <si>
    <t>O0001/IE06194/F0041/X116/R0229/001/6053</t>
  </si>
  <si>
    <t>O0001/IE06196/F0041/X116/R0229/001/6053</t>
  </si>
  <si>
    <t>O0001/IE06253/F0041/X116/R0229/001/6053</t>
  </si>
  <si>
    <t>O0001/IE06821/F0041/X116/R0229/001/6053</t>
  </si>
  <si>
    <t>O0001/IE06913/F0041/X116/R0229/001/6053</t>
  </si>
  <si>
    <t>O0001/IE06978/F0041/X116/R0229/001/6053</t>
  </si>
  <si>
    <t>O0001/IE07159/F0041/X116/R0229/001/6053</t>
  </si>
  <si>
    <t>Municipal Infrastructure Grant</t>
  </si>
  <si>
    <t>Project Management Unit</t>
  </si>
  <si>
    <t>PROJECT MANAGEMENT UNIT</t>
  </si>
  <si>
    <t>O0001/IE01581/F1182/X099/R0229/001/6055</t>
  </si>
  <si>
    <t>O0001/IE00062/F1182/X099/R0229/001/6055</t>
  </si>
  <si>
    <t>Food and Beverage (Serve</t>
  </si>
  <si>
    <t>O0001/IE00060/F1182/X099/R0229/001/6055</t>
  </si>
  <si>
    <t>O0001/IE00144/F1182/X099/R0229/001/6055</t>
  </si>
  <si>
    <t>Materials and Supplies</t>
  </si>
  <si>
    <t>Bargaining Council</t>
  </si>
  <si>
    <t>O0001/IE01525/F1182/X099/R0229/001/6055</t>
  </si>
  <si>
    <t>Bonus</t>
  </si>
  <si>
    <t>O0001/IE01533/F1182/X099/R0229/001/6055</t>
  </si>
  <si>
    <t>Long Service Award</t>
  </si>
  <si>
    <t>Housing Benefits</t>
  </si>
  <si>
    <t>Basic Salary and Wages</t>
  </si>
  <si>
    <t>LIM331_2017/18IDP_Computer Equipment Equipment Aquisitions-PMU</t>
  </si>
  <si>
    <t>Acquisitions</t>
  </si>
  <si>
    <t>O0001/IE00121/F1182/X099/R0229/001/6055</t>
  </si>
  <si>
    <t>O0001/IE01530/F1182/X099/R0229/001/6055</t>
  </si>
  <si>
    <t>Leave Pay</t>
  </si>
  <si>
    <t>O0001/IE00036/F1182/X099/R0229/001/6055</t>
  </si>
  <si>
    <t>O0001/IE00040/F1182/X099/R0229/001/6055</t>
  </si>
  <si>
    <t>O0001/IE00043/F1182/X099/R0229/001/6055</t>
  </si>
  <si>
    <t>O0001/IE00044/F1182/X099/R0229/001/6055</t>
  </si>
  <si>
    <t>O0001/IE00045/F1182/X099/R0229/001/6055</t>
  </si>
  <si>
    <t>O0001/IE00061/F1182/X099/R0229/001/6055</t>
  </si>
  <si>
    <t>O0001/IE00063/F1182/X099/R0229/001/6055</t>
  </si>
  <si>
    <t>O0001/IE00126/F1182/X099/R0229/001/6055</t>
  </si>
  <si>
    <t>O0001/IE00143/F1182/X099/R0229/001/6055</t>
  </si>
  <si>
    <t>O0001/IE00534/F1182/X099/R0229/001/6055</t>
  </si>
  <si>
    <t>O0001/IE00595/F1182/X099/R0229/001/6055</t>
  </si>
  <si>
    <t>O0001/IE01521/F1182/X099/R0229/001/6055</t>
  </si>
  <si>
    <t>O0001/IE01526/F1182/X099/R0229/001/6055</t>
  </si>
  <si>
    <t>O0001/IE03969/F1182/X099/R0229/001/6055</t>
  </si>
  <si>
    <t>O0001/IE00036/F0041/X056/R0229/001/6057</t>
  </si>
  <si>
    <t>Risk Management</t>
  </si>
  <si>
    <t>MANAGEMENT - OTHER (RISK)</t>
  </si>
  <si>
    <t>O0001/IE01525/F0041/X056/R0229/001/6057</t>
  </si>
  <si>
    <t>MANAGEMENT - OTHER (RISK</t>
  </si>
  <si>
    <t>O0001/IE03969/F0041/X056/R0229/001/6057</t>
  </si>
  <si>
    <t>O0001/IE00110/F0041/X056/R0229/001/6057</t>
  </si>
  <si>
    <t>Long Term Service Awards</t>
  </si>
  <si>
    <t>O0001/IE00044/F0041/X056/R0229/001/6057</t>
  </si>
  <si>
    <t>O0001/IE00043/F0041/X056/R0229/001/6057</t>
  </si>
  <si>
    <t>O0001/IE00126/F0041/X056/R0229/001/6057</t>
  </si>
  <si>
    <t>O0001/IE00061/F0041/X056/R0229/001/6057</t>
  </si>
  <si>
    <t>O0001/IE01521/F0041/X056/R0229/001/6057</t>
  </si>
  <si>
    <t>O0001/IE00040/F0041/X056/R0229/001/6057</t>
  </si>
  <si>
    <t>O0001/IE00595/F0041/X056/R0229/001/6057</t>
  </si>
  <si>
    <t>O0001/IE01535/F0041/X056/R0229/001/6057</t>
  </si>
  <si>
    <t>Standby Allowance</t>
  </si>
  <si>
    <t>O0001/IE00045/F0041/X056/R0229/001/6057</t>
  </si>
  <si>
    <t>O0001/IE01581/F0041/X056/R0229/001/6057</t>
  </si>
  <si>
    <t>O0001/IE00143/F0041/X056/R0229/001/6057</t>
  </si>
  <si>
    <t>O0001/IE00060/F0041/X056/R0229/001/6057</t>
  </si>
  <si>
    <t>O0001/IE00062/F0041/X056/R0229/001/6057</t>
  </si>
  <si>
    <t>O0001/IE00144/F0041/X056/R0229/001/6057</t>
  </si>
  <si>
    <t>O0001/IE00061/F0045/X056/R0229/001/6057</t>
  </si>
  <si>
    <t>O0001/IE00063/F0041/X056/R0229/001/6057</t>
  </si>
  <si>
    <t>O0001/IE00595/F1177/X056/R0229/001/6057</t>
  </si>
  <si>
    <t>Local Government Financi</t>
  </si>
  <si>
    <t>Skills Development Fund</t>
  </si>
  <si>
    <t>O0001/IE00045/F1177/X056/R0229/001/6057</t>
  </si>
  <si>
    <t>O0001/IE01526/F1177/X056/R0229/001/6057</t>
  </si>
  <si>
    <t>O0001/IE00036/F1177/X056/R0229/001/6057</t>
  </si>
  <si>
    <t>O0001/IE01526/F0041/X056/R0229/001/6057</t>
  </si>
  <si>
    <t>O0001/IE00144/F1177/X056/R0229/001/6057</t>
  </si>
  <si>
    <t>O0001/IE00061/F1177/X056/R0229/001/6057</t>
  </si>
  <si>
    <t>O0001/IE00063/F1177/X056/R0229/001/6057</t>
  </si>
  <si>
    <t>O0001/IE00121/F0041/X056/R0229/001/6057</t>
  </si>
  <si>
    <t>O0001/IE01530/F0041/X056/R0415/001/6057</t>
  </si>
  <si>
    <t>O0001/IE01537/F0041/X056/R0229/001/6057</t>
  </si>
  <si>
    <t>Uniform/Special/Protecti</t>
  </si>
  <si>
    <t>Governance Function</t>
  </si>
  <si>
    <t>INTERNAL AUDIT</t>
  </si>
  <si>
    <t>O0001/IE00036/F1177/X081/R0229/001/6059</t>
  </si>
  <si>
    <t>O0001/IE00040/F0041/X081/R0229/001/6059</t>
  </si>
  <si>
    <t>O0001/IE00045/F0041/X081/R0229/001/6059</t>
  </si>
  <si>
    <t>O0001/IE00045/F1177/X081/R0229/001/6059</t>
  </si>
  <si>
    <t>O0001/IE00060/F0041/X081/R0229/001/6059</t>
  </si>
  <si>
    <t>O0001/IE00060/F1177/X081/R0229/001/6059</t>
  </si>
  <si>
    <t>O0001/IE00061/F0041/X081/R0229/001/6059</t>
  </si>
  <si>
    <t>O0001/IE00061/F1177/X081/R0229/001/6059</t>
  </si>
  <si>
    <t>O0001/IE00062/F0041/X081/R0229/001/6059</t>
  </si>
  <si>
    <t>O0001/IE00062/F1177/X081/R0229/001/6059</t>
  </si>
  <si>
    <t>Local Government Financial Management Grant</t>
  </si>
  <si>
    <t>O0001/IE00063/F0041/X081/R0229/001/6059</t>
  </si>
  <si>
    <t>O0001/IE00063/F1177/X081/R0229/001/6059</t>
  </si>
  <si>
    <t>O0001/IE00121/F0041/X081/R0229/001/6059</t>
  </si>
  <si>
    <t>O0001/IE00143/F0041/X081/R0229/001/6059</t>
  </si>
  <si>
    <t>O0001/IE00143/F1177/X081/R0229/001/6059</t>
  </si>
  <si>
    <t>O0001/IE00144/F0041/X081/R0229/001/6059</t>
  </si>
  <si>
    <t>O0001/IE00144/F1177/X081/R0229/001/6059</t>
  </si>
  <si>
    <t>O0001/IE00595/F1177/X081/R0229/001/6059</t>
  </si>
  <si>
    <t>O0001/IE00830/F0041/X081/R0229/001/6059</t>
  </si>
  <si>
    <t>Accounting and Auditing</t>
  </si>
  <si>
    <t>O0001/IE01521/F0041/X081/R0229/001/6059</t>
  </si>
  <si>
    <t>O0001/IE01526/F0041/X081/R0229/001/6059</t>
  </si>
  <si>
    <t>O0001/IE01581/F0041/X081/R0229/001/6059</t>
  </si>
  <si>
    <t>O0001/IE01581/F1177/X081/R0229/001/6059</t>
  </si>
  <si>
    <t>O0001/IE00036/F0041/X081/R0229/001/6059</t>
  </si>
  <si>
    <t>O0001/IE00043/F0041/X081/R0229/001/6059</t>
  </si>
  <si>
    <t>O0001/IE00044/F0041/X081/R0229/001/6059</t>
  </si>
  <si>
    <t>O0001/IE00595/F0041/X081/R0229/001/6059</t>
  </si>
  <si>
    <t>O0001/IE00126/F0041/X081/R0229/001/6059</t>
  </si>
  <si>
    <t>HUMAN RESOURCE MANAGEMENT</t>
  </si>
  <si>
    <t>Acting and Post Related Allowances</t>
  </si>
  <si>
    <t>LEGAL SERVICES</t>
  </si>
  <si>
    <t>Human Resources</t>
  </si>
  <si>
    <t>Professional Bodies, Membership and Subscription</t>
  </si>
  <si>
    <t>Qualification Verification</t>
  </si>
  <si>
    <t>O0001/IE00121/F0041/X051/R0229/001/6103</t>
  </si>
  <si>
    <t>HUMAN RESOURCE MANAGEMEN</t>
  </si>
  <si>
    <t>O0001/IE00038/F0041/X051/R0229/001/6103</t>
  </si>
  <si>
    <t>O0001/IE00144/F0041/X051/R0229/001/6103</t>
  </si>
  <si>
    <t>O0001/IE00036/F0041/X051/R0229/001/6103</t>
  </si>
  <si>
    <t>O0001/IE00043/F0041/X051/R0229/001/6103</t>
  </si>
  <si>
    <t>O0001/IE00044/F0041/X051/R0229/001/6103</t>
  </si>
  <si>
    <t>O0001/IE00584/F0041/X051/R0229/001/6103</t>
  </si>
  <si>
    <t>O0001/IE00757/F0041/X051/R0229/001/6103</t>
  </si>
  <si>
    <t>O0001/IE00840/F0041/X051/R0229/001/6103</t>
  </si>
  <si>
    <t>O0001/IE00845/F0041/X051/R0229/001/6103</t>
  </si>
  <si>
    <t>O0001/IE01526/F0041/X051/R0229/001/6103</t>
  </si>
  <si>
    <t>O0001/IE01533/F0041/X051/R0229/001/6103</t>
  </si>
  <si>
    <t>O0001/IE00040/F0041/X051/R0229/001/6103</t>
  </si>
  <si>
    <t>O0001/IE00045/F0041/X051/R0229/001/6103</t>
  </si>
  <si>
    <t>O0001/IE00060/F0041/X051/R0229/001/6103</t>
  </si>
  <si>
    <t>O0001/IE00061/F0041/X051/R0229/001/6103</t>
  </si>
  <si>
    <t>O0001/IE00062/F0041/X051/R0229/001/6103</t>
  </si>
  <si>
    <t>O0001/IE00063/F0041/X051/R0229/001/6103</t>
  </si>
  <si>
    <t>O0001/IE00126/F0041/X051/R0229/001/6103</t>
  </si>
  <si>
    <t>O0001/IE00143/F0041/X051/R0229/001/6103</t>
  </si>
  <si>
    <t>O0001/IE00595/F0041/X051/R0229/001/6103</t>
  </si>
  <si>
    <t>O0001/IE01521/F0041/X051/R0229/001/6103</t>
  </si>
  <si>
    <t>O0001/IE01581/F0041/X051/R0229/001/6103</t>
  </si>
  <si>
    <t>O0001/IE03969/F0041/X051/R0229/001/6103</t>
  </si>
  <si>
    <t>Human Resources Development</t>
  </si>
  <si>
    <t>HUMAN RESOURCE DEVELOPMENT</t>
  </si>
  <si>
    <t>Bursaries (Employees)</t>
  </si>
  <si>
    <t>Uniform and Protective Clothing</t>
  </si>
  <si>
    <t>O0001/IE03969/F0041/X051/R0229/001/6104</t>
  </si>
  <si>
    <t>HUMAN RESOURCE DEVELOPME</t>
  </si>
  <si>
    <t>Medical Examinations</t>
  </si>
  <si>
    <t>National</t>
  </si>
  <si>
    <t>O0001/IE00810/F1177/X051/R0229/001/6104</t>
  </si>
  <si>
    <t>Professional and Regulatory Bodies</t>
  </si>
  <si>
    <t>D0001/IR03195/F2766/X051/R0230/001/6104</t>
  </si>
  <si>
    <t>Default Transactions</t>
  </si>
  <si>
    <t>Local Government, Water and Related Service SETA</t>
  </si>
  <si>
    <t>Whole of the Municipality</t>
  </si>
  <si>
    <t>O0001/IE00059/F2766/X051/R0230/001/6104</t>
  </si>
  <si>
    <t>Local Government, Water</t>
  </si>
  <si>
    <t>Whole of the Municipalit</t>
  </si>
  <si>
    <t>O0001/IE00036/F0041/X051/R0229/001/6104</t>
  </si>
  <si>
    <t>O0001/IE00121/F0041/X051/R0229/001/6104</t>
  </si>
  <si>
    <t>O0001/IE00609/F0041/X051/R0229/001/6104</t>
  </si>
  <si>
    <t>Workmen's Compensation F</t>
  </si>
  <si>
    <t>O0001/IE00144/F0041/X051/R0229/001/6104</t>
  </si>
  <si>
    <t>Solid Waste Removal</t>
  </si>
  <si>
    <t>SOLID WASTE</t>
  </si>
  <si>
    <t>O0001/IE00555/F0041/X051/R0229/001/6104</t>
  </si>
  <si>
    <t>O0001/IE00604/F0041/X051/R0229/001/6104</t>
  </si>
  <si>
    <t>O0001/IE00043/F0041/X051/R0229/001/6104</t>
  </si>
  <si>
    <t>O0001/IE00044/F0041/X051/R0229/001/6104</t>
  </si>
  <si>
    <t>O0001/IE01526/F0041/X051/R0229/001/6104</t>
  </si>
  <si>
    <t>O0001/IE01533/F0041/X051/R0229/001/6104</t>
  </si>
  <si>
    <t>O0001/IE00836/F0041/X051/R0229/001/6104</t>
  </si>
  <si>
    <t>O0001/IE00841/F0041/X051/R0229/001/6104</t>
  </si>
  <si>
    <t>O0001/IE00059/F0041/X051/R0229/001/6104</t>
  </si>
  <si>
    <t>O0001/IE00143/F0041/X051/R0229/001/6104</t>
  </si>
  <si>
    <t>O0001/IE01581/F0041/X051/R0229/001/6104</t>
  </si>
  <si>
    <t>O0001/IE00060/F0041/X051/R0229/001/6104</t>
  </si>
  <si>
    <t>O0001/IE00062/F0041/X051/R0229/001/6104</t>
  </si>
  <si>
    <t>O0001/IE00061/F0041/X051/R0229/001/6104</t>
  </si>
  <si>
    <t>O0001/IE00595/F0041/X051/R0229/001/6104</t>
  </si>
  <si>
    <t>O0001/IE00040/F0041/X051/R0229/001/6104</t>
  </si>
  <si>
    <t>O0001/IE00045/F0041/X051/R0229/001/6104</t>
  </si>
  <si>
    <t>O0001/IE01521/F0041/X051/R0229/001/6104</t>
  </si>
  <si>
    <t>O0001/IE00126/F0041/X051/R0229/001/6104</t>
  </si>
  <si>
    <t>O0001/IE00595/F0041/X052/R0229/001/6105</t>
  </si>
  <si>
    <t>Information Technology</t>
  </si>
  <si>
    <t>INFORMATION TECHNOLOGY</t>
  </si>
  <si>
    <t>O0001/IE00040/F0041/X052/R0229/001/6105</t>
  </si>
  <si>
    <t>O0001/IE00043/F0041/X052/R0229/001/6105</t>
  </si>
  <si>
    <t>O0001/IE00044/F0041/X052/R0229/001/6105</t>
  </si>
  <si>
    <t>O0001/IE00045/F0041/X052/R0229/001/6105</t>
  </si>
  <si>
    <t>O0001/IE03969/F0041/X052/R0229/001/6105</t>
  </si>
  <si>
    <t>O0001/IE01526/F0041/X052/R0229/001/6105</t>
  </si>
  <si>
    <t>O0001/IE01533/F0041/X052/R0229/001/6105</t>
  </si>
  <si>
    <t>O0001/IE01521/F0041/X052/R0229/001/6105</t>
  </si>
  <si>
    <t>O0001/IE00126/F0041/X052/R0229/001/6105</t>
  </si>
  <si>
    <t>O0001/IE00036/F0041/X052/R0229/001/6105</t>
  </si>
  <si>
    <t>O0001/IE00143/F0041/X052/R0229/001/6105</t>
  </si>
  <si>
    <t>O0001/IE00144/F0041/X052/R0229/001/6105</t>
  </si>
  <si>
    <t>O0001/IE01581/F0041/X052/R0229/001/6105</t>
  </si>
  <si>
    <t>O0001/IE00060/F0041/X052/R0229/001/6105</t>
  </si>
  <si>
    <t>O0001/IE00061/F0041/X052/R0229/001/6105</t>
  </si>
  <si>
    <t>O0001/IE00062/F0041/X052/R0229/001/6105</t>
  </si>
  <si>
    <t>O0001/IE00063/F0041/X052/R0229/001/6105</t>
  </si>
  <si>
    <t>O0001/IE00835/F1177/X052/R0229/001/6105</t>
  </si>
  <si>
    <t>O0001/IE00835/F0041/X052/R0229/001/6105</t>
  </si>
  <si>
    <t>LIM331_2017/18IDP_Computer Equipment Aquisitions</t>
  </si>
  <si>
    <t>O1540-1/IE00650/F2496/X052/R0229/001/6105</t>
  </si>
  <si>
    <t>LIM331_2017/18IDP_Computer Equipment Repairs</t>
  </si>
  <si>
    <t>Levies</t>
  </si>
  <si>
    <t>Maintenance of Equipment</t>
  </si>
  <si>
    <t>O0001/IE00794/F0041/X052/R0229/001/6105</t>
  </si>
  <si>
    <t>O0001/IE00793/F0041/X052/R0229/001/6105</t>
  </si>
  <si>
    <t>O0001/IE00792/F0041/X052/R0229/001/6105</t>
  </si>
  <si>
    <t>C0025-1/IA00052/F0002/X052/R0229/001/6105</t>
  </si>
  <si>
    <t>_LIM331_6105_ICT Network Infrustructure</t>
  </si>
  <si>
    <t>Transfer from Operational Revenue</t>
  </si>
  <si>
    <t>O0001/IE00121/F0041/X052/R0229/001/6105</t>
  </si>
  <si>
    <t>C0086-1/IA04957/F0002/X052/R0230/001/6105</t>
  </si>
  <si>
    <t>_LIM331_6105_Help Desk S</t>
  </si>
  <si>
    <t>Transfer from Operationa</t>
  </si>
  <si>
    <t>C0003-5/IA06553/F0002/X052/R0230/001/6105</t>
  </si>
  <si>
    <t>_LIM331_6105_Leased Comp</t>
  </si>
  <si>
    <t>O0001/IE00731/F0041/X052/R0230/001/6105</t>
  </si>
  <si>
    <t>Finance Leases</t>
  </si>
  <si>
    <t>Property Services</t>
  </si>
  <si>
    <t>PROPERTY SERVICES</t>
  </si>
  <si>
    <t>O0001/IE01525/F0041/X055/R0229/001/6107</t>
  </si>
  <si>
    <t>Building Plan Approval</t>
  </si>
  <si>
    <t>LIM331_2017/18IDP_Mainatenance of Buildings</t>
  </si>
  <si>
    <t>O2774-1/IE00534/F2496/X055/R0229/001/6107</t>
  </si>
  <si>
    <t>LIM331_2017/18IDP_Mainat</t>
  </si>
  <si>
    <t>O0001/IE00121/F0041/X055/R0229/001/6107</t>
  </si>
  <si>
    <t>O0001/IE01530/F0041/X055/R0229/001/6107</t>
  </si>
  <si>
    <t>O0001/IE00595/F0041/X055/R0229/001/6107</t>
  </si>
  <si>
    <t>O0001/IE00040/F0041/X055/R0229/001/6107</t>
  </si>
  <si>
    <t>O0001/IE00043/F0041/X055/R0229/001/6107</t>
  </si>
  <si>
    <t>O0001/IE00044/F0041/X055/R0229/001/6107</t>
  </si>
  <si>
    <t>O0001/IE00045/F0041/X055/R0229/001/6107</t>
  </si>
  <si>
    <t>O0001/IE03969/F0041/X055/R0229/001/6107</t>
  </si>
  <si>
    <t>O0001/IE01535/F0041/X055/R0229/001/6107</t>
  </si>
  <si>
    <t>O0001/IE01526/F0041/X055/R0229/001/6107</t>
  </si>
  <si>
    <t>O0001/IE01533/F0041/X055/R0229/001/6107</t>
  </si>
  <si>
    <t>O0001/IE01521/F0041/X055/R0229/001/6107</t>
  </si>
  <si>
    <t>O0001/IE00126/F0041/X055/R0229/001/6107</t>
  </si>
  <si>
    <t>O0001/IE00036/F0041/X055/R0229/001/6107</t>
  </si>
  <si>
    <t>O0001/IE00143/F0041/X055/R0229/001/6107</t>
  </si>
  <si>
    <t>O0001/IE01581/F0041/X055/R0229/001/6107</t>
  </si>
  <si>
    <t>O0001/IE00060/F0041/X055/R0229/001/6107</t>
  </si>
  <si>
    <t>O0001/IE00062/F0041/X055/R0229/001/6107</t>
  </si>
  <si>
    <t>O0001/IE00144/F0041/X055/R0229/001/6107</t>
  </si>
  <si>
    <t>O0001/IE00061/F0041/X055/R0229/001/6107</t>
  </si>
  <si>
    <t>O0001/IE00063/F0041/X055/R0229/001/6107</t>
  </si>
  <si>
    <t>O2774-1/IE00534/F0041/X055/R0229/001/6107</t>
  </si>
  <si>
    <t>O0001/IE00595/F0041/X053/R0229/001/6108</t>
  </si>
  <si>
    <t>Legal Services</t>
  </si>
  <si>
    <t>O0001/IE00040/F0041/X053/R0229/001/6108</t>
  </si>
  <si>
    <t>O0001/IE00045/F0041/X053/R0229/001/6108</t>
  </si>
  <si>
    <t>O0001/IE01525/F0041/X053/R0229/001/6108</t>
  </si>
  <si>
    <t>O0001/IE01526/F0041/X053/R0229/001/6108</t>
  </si>
  <si>
    <t>O0001/IE01533/F0041/X053/R0229/001/6108</t>
  </si>
  <si>
    <t>O0001/IE01521/F0041/X053/R0229/001/6108</t>
  </si>
  <si>
    <t>O0001/IE00126/F0041/X053/R0229/001/6108</t>
  </si>
  <si>
    <t>O0001/IE00143/F0041/X053/R0229/001/6108</t>
  </si>
  <si>
    <t>O0001/IE01581/F0041/X053/R0229/001/6108</t>
  </si>
  <si>
    <t>O0001/IE00062/F0041/X053/R0229/001/6108</t>
  </si>
  <si>
    <t>O0001/IE00060/F0041/X053/R0229/001/6108</t>
  </si>
  <si>
    <t>O0001/IE00144/F0041/X053/R0229/001/6108</t>
  </si>
  <si>
    <t>O0001/IE00061/F0041/X053/R0229/001/6108</t>
  </si>
  <si>
    <t>O0001/IE00063/F0041/X053/R0229/001/6108</t>
  </si>
  <si>
    <t>O0001/IE00007/F0041/X053/R0229/001/6108</t>
  </si>
  <si>
    <t>Issue of Summons</t>
  </si>
  <si>
    <t>O0001/IE00008/F0041/X053/R0229/001/6108</t>
  </si>
  <si>
    <t>Legal Advice and Litigation</t>
  </si>
  <si>
    <t>O0001/IE00583/F0041/X053/R0229/001/6108</t>
  </si>
  <si>
    <t>Printing, Publications and Books</t>
  </si>
  <si>
    <t>_LIM331_6108_By-Law Development</t>
  </si>
  <si>
    <t>O0001/IE00121/F0041/X053/R0229/001/6108</t>
  </si>
  <si>
    <t>O0001/IE00043/F0041/X053/R0229/001/6108</t>
  </si>
  <si>
    <t>O0001/IE00044/F0041/X053/R0229/001/6108</t>
  </si>
  <si>
    <t>O0001/IE00036/F0041/X053/R0229/001/6108</t>
  </si>
  <si>
    <t>O0001/IE00595/F0041/X046/R0229/001/6109</t>
  </si>
  <si>
    <t>OTHER ADMIN</t>
  </si>
  <si>
    <t>O0001/IE00040/F0041/X046/R0229/001/6109</t>
  </si>
  <si>
    <t>O0001/IE00043/F0041/X046/R0229/001/6109</t>
  </si>
  <si>
    <t>O0001/IE00044/F0041/X046/R0229/001/6109</t>
  </si>
  <si>
    <t>O0001/IE00045/F0041/X046/R0229/001/6109</t>
  </si>
  <si>
    <t>O0001/IE03969/F0041/X046/R0229/001/6109</t>
  </si>
  <si>
    <t>O0001/IE00604/F0041/X046/R0229/001/6109</t>
  </si>
  <si>
    <t>O0001/IE01526/F0041/X046/R0229/001/6109</t>
  </si>
  <si>
    <t>O0001/IE01533/F0041/X046/R0229/001/6109</t>
  </si>
  <si>
    <t>O0001/IE01535/F0041/X046/R0229/001/6109</t>
  </si>
  <si>
    <t>O0001/IE01521/F0041/X046/R0229/001/6109</t>
  </si>
  <si>
    <t>O0001/IE00126/F0041/X046/R0229/001/6109</t>
  </si>
  <si>
    <t>O0001/IE00036/F0041/X046/R0229/001/6109</t>
  </si>
  <si>
    <t>O0001/IE00539/F0041/X046/R0229/001/6109</t>
  </si>
  <si>
    <t>O0001/IE00677/F0041/X046/R0229/001/6109</t>
  </si>
  <si>
    <t>Catering Services</t>
  </si>
  <si>
    <t>O0001/IE00769/F0041/X046/R0229/001/6109</t>
  </si>
  <si>
    <t>Cellular Contract (Subscription and Calls)</t>
  </si>
  <si>
    <t>O0001/IE00778/F0041/X046/R0229/001/6109</t>
  </si>
  <si>
    <t>Telephone, Fax, Telegraph and Telex</t>
  </si>
  <si>
    <t>O0001/IE00771/F0041/X046/R0229/001/6109</t>
  </si>
  <si>
    <t>Postage/Stamps/Franking Machines</t>
  </si>
  <si>
    <t>O0001/IE00542/F0041/X046/R0229/001/6109</t>
  </si>
  <si>
    <t>O0001/IE00143/F0041/X046/R0229/001/6109</t>
  </si>
  <si>
    <t>O0001/IE00144/F0041/X046/R0229/001/6109</t>
  </si>
  <si>
    <t>O0001/IE01581/F0041/X046/R0229/001/6109</t>
  </si>
  <si>
    <t>O0001/IE00060/F0041/X046/R0229/001/6109</t>
  </si>
  <si>
    <t>O0001/IE00061/F0041/X046/R0229/001/6109</t>
  </si>
  <si>
    <t>O0001/IE00062/F0041/X046/R0229/001/6109</t>
  </si>
  <si>
    <t>O0001/IE00063/F0041/X046/R0229/001/6109</t>
  </si>
  <si>
    <t>O1548-1/IE00650/F2496/X046/R0229/001/6109</t>
  </si>
  <si>
    <t>LIM331_2017/18IDP_Repairs of Furniture and Office Equipment</t>
  </si>
  <si>
    <t>LIM331_2017/18IDP_Acquisition of Furniture and Office Equipment</t>
  </si>
  <si>
    <t>C0006-2/IA06282/F0002/X046/R0229/001/6109</t>
  </si>
  <si>
    <t>LIM331_2017/18IDP_Acquis</t>
  </si>
  <si>
    <t>Administrative and Corpo</t>
  </si>
  <si>
    <t>O0001/IE00121/F0041/X046/R0229/001/6109</t>
  </si>
  <si>
    <t>O0001/IE01530/F0041/X046/R0229/001/6109</t>
  </si>
  <si>
    <t>O0001/IE00036/F0041/X050/R0229/001/6111</t>
  </si>
  <si>
    <t>Fleet Management</t>
  </si>
  <si>
    <t>FLEET &amp; MACHINERY, ADMIN</t>
  </si>
  <si>
    <t>O0001/IE00126/F0041/X050/R0229/001/6111</t>
  </si>
  <si>
    <t>O0001/IE00040/F0041/X050/R0229/001/6111</t>
  </si>
  <si>
    <t>O0001/IE00595/F0041/X050/R0229/001/6111</t>
  </si>
  <si>
    <t>O0001/IE00043/F0041/X050/R0229/001/6111</t>
  </si>
  <si>
    <t>O0001/IE00044/F0041/X050/R0229/001/6111</t>
  </si>
  <si>
    <t>O0001/IE00045/F0041/X050/R0229/001/6111</t>
  </si>
  <si>
    <t>O0001/IE03969/F0041/X050/R0229/001/6111</t>
  </si>
  <si>
    <t>O0001/IE01526/F0041/X050/R0229/001/6111</t>
  </si>
  <si>
    <t>O0001/IE01533/F0041/X050/R0229/001/6111</t>
  </si>
  <si>
    <t>O0001/IE01521/F0041/X050/R0229/001/6111</t>
  </si>
  <si>
    <t>O0001/IE00808/F0041/X050/R0229/001/6111</t>
  </si>
  <si>
    <t>Motor Vehicle Licence and Registrations</t>
  </si>
  <si>
    <t>O0001/IE00607/F0041/X050/R0229/001/6111</t>
  </si>
  <si>
    <t>O0001/IE00143/F0041/X050/R0229/001/6111</t>
  </si>
  <si>
    <t>O0001/IE00144/F0041/X050/R0229/001/6111</t>
  </si>
  <si>
    <t>O0001/IE01581/F0041/X050/R0229/001/6111</t>
  </si>
  <si>
    <t>O0001/IE00060/F0041/X050/R0229/001/6111</t>
  </si>
  <si>
    <t>O0001/IE00061/F0041/X050/R0229/001/6111</t>
  </si>
  <si>
    <t>O0001/IE00062/F0041/X050/R0229/001/6111</t>
  </si>
  <si>
    <t>O0001/IE00063/F0041/X050/R0229/001/6111</t>
  </si>
  <si>
    <t>O1551-1/IE00650/F0041/X050/R0229/001/6111</t>
  </si>
  <si>
    <t>LIM331_2017/18IDP_Mainte</t>
  </si>
  <si>
    <t>O1550-1/IE00650/F0041/X050/R0229/001/6111</t>
  </si>
  <si>
    <t>LIM331_2017/18IDP_Acquisition of Motor Vehicles</t>
  </si>
  <si>
    <t>D0001/IR01444/F0047/X050/R0229/001/6111</t>
  </si>
  <si>
    <t>Sales of Goods and Rendering of Services</t>
  </si>
  <si>
    <t>Escort Fees</t>
  </si>
  <si>
    <t>LIM331_2017/18IDP_Acquisition of Machinery and Equipment</t>
  </si>
  <si>
    <t>O0001/IE00534/F0041/X050/R0229/001/6111</t>
  </si>
  <si>
    <t>O1550-1/IE00650/F2496/X050/R0229/001/6111</t>
  </si>
  <si>
    <t>LIM331_2017/18IDP_Maintenance of Machinery and Equipment</t>
  </si>
  <si>
    <t>O1551-1/IE00651/F2496/X050/R0229/001/6111</t>
  </si>
  <si>
    <t>LIM331_2017/18IDP_Maintenance of Motor Vehicles</t>
  </si>
  <si>
    <t>Maintenance of Unspecified Assets</t>
  </si>
  <si>
    <t>O0001/IE00121/F0041/X050/R0229/001/6111</t>
  </si>
  <si>
    <t>O0001/IE00595/F0041/X058/R0229/001/6113</t>
  </si>
  <si>
    <t>Supply Chain Management</t>
  </si>
  <si>
    <t>SUPPLY CHAIN MANAGEMENT</t>
  </si>
  <si>
    <t>O0001/IE00040/F0041/X058/R0229/001/6113</t>
  </si>
  <si>
    <t>O0001/IE00043/F0041/X058/R0229/001/6113</t>
  </si>
  <si>
    <t>O0001/IE00044/F0041/X058/R0229/001/6113</t>
  </si>
  <si>
    <t>O0001/IE00045/F0041/X058/R0229/001/6113</t>
  </si>
  <si>
    <t>O0001/IE03969/F0041/X058/R0229/001/6113</t>
  </si>
  <si>
    <t>O0001/IE01533/F0041/X058/R0229/001/6113</t>
  </si>
  <si>
    <t>O0001/IE01525/F0041/X058/R0229/001/6113</t>
  </si>
  <si>
    <t>O0001/IE01526/F0041/X058/R0229/001/6113</t>
  </si>
  <si>
    <t>O0001/IE01521/F0041/X058/R0229/001/6113</t>
  </si>
  <si>
    <t>O0001/IE00126/F0041/X058/R0229/001/6113</t>
  </si>
  <si>
    <t>O0001/IE00036/F0041/X058/R0229/001/6113</t>
  </si>
  <si>
    <t>O0001/IE00758/F0041/X058/R0229/001/6113</t>
  </si>
  <si>
    <t>O0001/IE00063/F0041/X058/R0229/001/6113</t>
  </si>
  <si>
    <t>O0001/IE00061/F0041/X058/R0229/001/6113</t>
  </si>
  <si>
    <t>O0001/IE00144/F0041/X058/R0229/001/6113</t>
  </si>
  <si>
    <t>O0001/IE00143/F0041/X058/R0229/001/6113</t>
  </si>
  <si>
    <t>O0001/IE01581/F0041/X058/R0229/001/6113</t>
  </si>
  <si>
    <t>O0001/IE00060/F0041/X058/R0229/001/6113</t>
  </si>
  <si>
    <t>O0001/IE00062/F0041/X058/R0229/001/6113</t>
  </si>
  <si>
    <t>D0001/IR01113/F0047/X058/R0229/001/6113</t>
  </si>
  <si>
    <t>Tender Documents</t>
  </si>
  <si>
    <t>O0001/IE00143/F1177/X058/R0229/001/6113</t>
  </si>
  <si>
    <t>O0001/IE01581/F1177/X058/R0229/001/6113</t>
  </si>
  <si>
    <t>O0001/IE00060/F1177/X058/R0229/001/6113</t>
  </si>
  <si>
    <t>O0001/IE00062/F1177/X058/R0229/001/6113</t>
  </si>
  <si>
    <t>O0001/IE00144/F1177/X058/R0229/001/6113</t>
  </si>
  <si>
    <t>O0001/IE00121/F0041/X058/R0229/001/6113</t>
  </si>
  <si>
    <t>O0001/IE00121/F0041/X047/R0229/001/6114</t>
  </si>
  <si>
    <t>Asset Management</t>
  </si>
  <si>
    <t>ASSETS MANAGEMENT</t>
  </si>
  <si>
    <t>O0001/IE01530/F0041/X058/R0229/001/6113</t>
  </si>
  <si>
    <t>O0001/IE00738/F0041/X047/R0229/001/6114</t>
  </si>
  <si>
    <t>O0001/IE00801/F0041/X047/R0229/001/6114</t>
  </si>
  <si>
    <t>O0001/IE00805/F0041/X047/R0229/001/6114</t>
  </si>
  <si>
    <t>O0001/IE00830/F0041/X047/R0229/001/6114</t>
  </si>
  <si>
    <t>O0001/IE00143/F0041/X047/R0229/001/6114</t>
  </si>
  <si>
    <t>O0001/IE00144/F0041/X047/R0229/001/6114</t>
  </si>
  <si>
    <t>O0001/IE01581/F0041/X047/R0229/001/6114</t>
  </si>
  <si>
    <t>O0001/IE00060/F0041/X047/R0229/001/6114</t>
  </si>
  <si>
    <t>O0001/IE00061/F0041/X047/R0229/001/6114</t>
  </si>
  <si>
    <t>O0001/IE00062/F0041/X047/R0229/001/6114</t>
  </si>
  <si>
    <t>O0001/IE00063/F0041/X047/R0229/001/6114</t>
  </si>
  <si>
    <t>O0001/IE00143/F1177/X047/R0229/001/6114</t>
  </si>
  <si>
    <t>O0001/IE01581/F1177/X047/R0229/001/6114</t>
  </si>
  <si>
    <t>O0001/IE00060/F1177/X047/R0229/001/6114</t>
  </si>
  <si>
    <t>O0001/IE00062/F1177/X047/R0229/001/6114</t>
  </si>
  <si>
    <t>O0001/IE00830/F0930/X047/R0229/001/6114</t>
  </si>
  <si>
    <t>Waste</t>
  </si>
  <si>
    <t>Non-funding Transactions</t>
  </si>
  <si>
    <t>O0001/IE00595/F0041/X047/R0229/001/6114</t>
  </si>
  <si>
    <t>O0001/IE00040/F0041/X047/R0229/001/6114</t>
  </si>
  <si>
    <t>O0001/IE00043/F0041/X047/R0229/001/6114</t>
  </si>
  <si>
    <t>O0001/IE00045/F0041/X047/R0229/001/6114</t>
  </si>
  <si>
    <t>O0001/IE00044/F0041/X047/R0229/001/6114</t>
  </si>
  <si>
    <t>O0001/IE03969/F0041/X047/R0229/001/6114</t>
  </si>
  <si>
    <t>O0001/IE01533/F0041/X047/R0229/001/6114</t>
  </si>
  <si>
    <t>O0001/IE01526/F0041/X047/R0229/001/6114</t>
  </si>
  <si>
    <t>O0001/IE01521/F0041/X047/R0229/001/6114</t>
  </si>
  <si>
    <t>O0001/IE00036/F0041/X047/R0229/001/6114</t>
  </si>
  <si>
    <t>O0001/IE00126/F0041/X047/R0229/001/6114</t>
  </si>
  <si>
    <t>REVENUE</t>
  </si>
  <si>
    <t>BUDGET &amp; REPORTING</t>
  </si>
  <si>
    <t>Outsourced</t>
  </si>
  <si>
    <t>Furniture and Office Equ</t>
  </si>
  <si>
    <t>O0001/IE01525/F0041/X049/R0229/001/6115</t>
  </si>
  <si>
    <t>O0001/IE00830/F0041/X049/R0229/001/6115</t>
  </si>
  <si>
    <t>Valuer and Assessors</t>
  </si>
  <si>
    <t>O0001/IE00060/F0041/X049/R0229/001/6115</t>
  </si>
  <si>
    <t>O0001/IE00062/F0041/X049/R0229/001/6115</t>
  </si>
  <si>
    <t>D0001/IR01049/F2496/X049/R0041/001/6115</t>
  </si>
  <si>
    <t>Developed</t>
  </si>
  <si>
    <t>Ward 21</t>
  </si>
  <si>
    <t>D0001/IR01049/F2496/X049/R0021/001/6115</t>
  </si>
  <si>
    <t>Ward 11</t>
  </si>
  <si>
    <t>D0001/IR01049/F2496/X049/R0022/001/6115</t>
  </si>
  <si>
    <t>Ward 12</t>
  </si>
  <si>
    <t>D0001/IR01049/F2496/X049/R0023/001/6115</t>
  </si>
  <si>
    <t>Ward 13</t>
  </si>
  <si>
    <t>D0001/IR01482/F2496/X049/R0041/001/6115</t>
  </si>
  <si>
    <t>D0001/IR01482/F2496/X049/R0021/001/6115</t>
  </si>
  <si>
    <t>D0001/IR01482/F2496/X049/R0022/001/6115</t>
  </si>
  <si>
    <t>D0001/IR01482/F2496/X049/R0023/001/6115</t>
  </si>
  <si>
    <t>D0001/IR01484/F2496/X049/R0021/001/6115</t>
  </si>
  <si>
    <t>D0001/IR01484/F2496/X049/R0022/001/6115</t>
  </si>
  <si>
    <t>D0001/IR01496/F2496/X049/R0041/001/6115</t>
  </si>
  <si>
    <t>D0001/IR01496/F2496/X049/R0021/001/6115</t>
  </si>
  <si>
    <t>D0001/IR01496/F2496/X049/R0022/001/6115</t>
  </si>
  <si>
    <t>D0001/IR01496/F2496/X049/R0023/001/6115</t>
  </si>
  <si>
    <t>D0001/IR01492/F2496/X049/R0041/001/6115</t>
  </si>
  <si>
    <t>D0001/IR01492/F2496/X049/R0021/001/6115</t>
  </si>
  <si>
    <t>D0001/IR01492/F2496/X049/R0022/001/6115</t>
  </si>
  <si>
    <t>D0001/IR01492/F2496/X049/R0023/001/6115</t>
  </si>
  <si>
    <t>D0001/IR01143/F2494/X049/R0230/001/6115</t>
  </si>
  <si>
    <t>Current and Non-current Assets</t>
  </si>
  <si>
    <t>D0001/IR01068/F2494/X049/R0230/001/6115</t>
  </si>
  <si>
    <t>D0001/IR01070/F2494/X049/R0230/001/6115</t>
  </si>
  <si>
    <t>D0001/IR01073/F2494/X049/R0230/001/6115</t>
  </si>
  <si>
    <t>D0001/IR01074/F2494/X049/R0230/001/6115</t>
  </si>
  <si>
    <t>D0001/IR01075/F2494/X049/R0230/001/6115</t>
  </si>
  <si>
    <t>D0001/IR01059/F2495/X049/R0230/001/6115</t>
  </si>
  <si>
    <t>Receivables</t>
  </si>
  <si>
    <t>Bank Accounts</t>
  </si>
  <si>
    <t>D0001/IR01061/F2495/X049/R0230/001/6115</t>
  </si>
  <si>
    <t>Short Term Investments and Call Accounts</t>
  </si>
  <si>
    <t>D0001/IR01435/F0047/X049/R0230/001/6115</t>
  </si>
  <si>
    <t>Clearance Certificates</t>
  </si>
  <si>
    <t>D0001/IR01426/F0047/X049/R0230/001/6115</t>
  </si>
  <si>
    <t>Advertisements</t>
  </si>
  <si>
    <t>Sales of Goods and Rende</t>
  </si>
  <si>
    <t>Cemeteries, Funeral Parl</t>
  </si>
  <si>
    <t>D0001/IR01466/F0047/X049/R0230/001/6115</t>
  </si>
  <si>
    <t>Valuation Services</t>
  </si>
  <si>
    <t>D0001/IR01457/F0047/X049/R0230/001/6115</t>
  </si>
  <si>
    <t>Photocopies and Faxes</t>
  </si>
  <si>
    <t>D0001/IR02344/F0041/X049/R0230/001/6115</t>
  </si>
  <si>
    <t>D0001/IR02318/F1177/X049/R0230/001/6115</t>
  </si>
  <si>
    <t>D0001/IR01671/F0791/X049/R0230/001/6115</t>
  </si>
  <si>
    <t>D0001/IR02310/F1169/X049/R0230/001/6115</t>
  </si>
  <si>
    <t>Expanded Public Works Programme Integrated Grant</t>
  </si>
  <si>
    <t>Integrated National Electrification Programme Grant</t>
  </si>
  <si>
    <t>O0001/IE00143/F1177/X049/R0229/001/6115</t>
  </si>
  <si>
    <t>O0001/IE01581/F1177/X049/R0229/001/6115</t>
  </si>
  <si>
    <t>O0001/IE00060/F1177/X049/R0229/001/6115</t>
  </si>
  <si>
    <t>O0001/IE00062/F1177/X049/R0229/001/6115</t>
  </si>
  <si>
    <t>O0001/IE00830/F2496/X049/R0229/001/6115</t>
  </si>
  <si>
    <t>O0001/IE00848/F2496/X049/R0229/001/6115</t>
  </si>
  <si>
    <t>D0001/IZ00059/F0001/X049/R0230/001/6115</t>
  </si>
  <si>
    <t>D0001/IZ00060/F0001/X049/R0230/001/6115</t>
  </si>
  <si>
    <t>D0001/IZ00061/F0001/X049/R0230/001/6115</t>
  </si>
  <si>
    <t>D0001/IZ00041/F0001/X049/R0230/001/6115</t>
  </si>
  <si>
    <t>D0001/IZ00062/F0001/X049/R0230/001/6115</t>
  </si>
  <si>
    <t>O3614/IR01049/F2496/X049/R0230/001/6115</t>
  </si>
  <si>
    <t>General Residential Reba</t>
  </si>
  <si>
    <t>D0001/IR01482/F2496/X049/R0230/001/6115</t>
  </si>
  <si>
    <t>D0001/IR01496/F2496/X049/R0230/001/6115</t>
  </si>
  <si>
    <t>D0001/IR01428/F0047/X049/R0230/001/6115</t>
  </si>
  <si>
    <t>Road and Traffic Regulat</t>
  </si>
  <si>
    <t>Motor Vehicle Licence</t>
  </si>
  <si>
    <t>Town Planning, Building</t>
  </si>
  <si>
    <t>D0001/IR01498/F0933/X049/R0230/001/6115</t>
  </si>
  <si>
    <t>Taxes and Surcharges</t>
  </si>
  <si>
    <t>Taxes</t>
  </si>
  <si>
    <t>O0001/IE00830/F0933/X049/R0229/001/6115</t>
  </si>
  <si>
    <t>D0001/IR01415/F2496/X049/R0230/001/6115</t>
  </si>
  <si>
    <t>O0001/IE00121/F0041/X049/R0229/001/6115</t>
  </si>
  <si>
    <t>D0001/IR01380/F0039/X049/R0230/001/6115</t>
  </si>
  <si>
    <t>Agency Services</t>
  </si>
  <si>
    <t>O0001/IE00516/F0041/X049/R0230/001/6115</t>
  </si>
  <si>
    <t>Bad Debts Written Off</t>
  </si>
  <si>
    <t>D0001/IR01422/F2496/X049/R0230/001/6115</t>
  </si>
  <si>
    <t>O0001/IE00595/F0041/X049/R0229/001/6115</t>
  </si>
  <si>
    <t>O0001/IE00040/F0041/X049/R0229/001/6115</t>
  </si>
  <si>
    <t>O0001/IE00043/F0041/X049/R0229/001/6115</t>
  </si>
  <si>
    <t>O0001/IE00044/F0041/X049/R0229/001/6115</t>
  </si>
  <si>
    <t>O0001/IE00045/F0041/X049/R0229/001/6115</t>
  </si>
  <si>
    <t>O0001/IE01533/F0041/X049/R0229/001/6115</t>
  </si>
  <si>
    <t>O0001/IE01535/F0041/X049/R0229/001/6115</t>
  </si>
  <si>
    <t>O0001/IE01526/F0041/X049/R0229/001/6115</t>
  </si>
  <si>
    <t>O0001/IE03969/F0041/X049/R0229/001/6115</t>
  </si>
  <si>
    <t>O0001/IE01521/F0041/X049/R0229/001/6115</t>
  </si>
  <si>
    <t>O0001/IE00126/F0041/X049/R0229/001/6115</t>
  </si>
  <si>
    <t>O0001/IE00036/F0041/X049/R0229/001/6115</t>
  </si>
  <si>
    <t>O0001/IE00848/F0041/X049/R0229/001/6115</t>
  </si>
  <si>
    <t>O0001/IE01581/F0041/X049/R0229/001/6115</t>
  </si>
  <si>
    <t>O0001/IE00143/F0041/X049/R0229/001/6115</t>
  </si>
  <si>
    <t>O0001/IE00144/F0041/X049/R0229/001/6115</t>
  </si>
  <si>
    <t>O0001/IE00061/F0041/X049/R0229/001/6115</t>
  </si>
  <si>
    <t>O0001/IE00063/F0041/X049/R0229/001/6115</t>
  </si>
  <si>
    <t>EXPENDITURE</t>
  </si>
  <si>
    <t>O0001/IE01581/F0041/X049/R0229/001/6117</t>
  </si>
  <si>
    <t>O0001/IE00060/F0041/X049/R0229/001/6117</t>
  </si>
  <si>
    <t>O0001/IE00062/F0041/X049/R0229/001/6117</t>
  </si>
  <si>
    <t>O0001/IE00830/F0933/X049/R0229/001/6117</t>
  </si>
  <si>
    <t>O0001/IE01533/F0041/X049/R0229/001/6117</t>
  </si>
  <si>
    <t>O0001/IE00143/F1177/X049/R0229/001/6117</t>
  </si>
  <si>
    <t>O0001/IE01581/F1177/X049/R0229/001/6117</t>
  </si>
  <si>
    <t>O0001/IE00060/F1177/X049/R0229/001/6117</t>
  </si>
  <si>
    <t>O0001/IE00062/F1177/X049/R0229/001/6117</t>
  </si>
  <si>
    <t>O0001/IE00830/F2496/X049/R0229/001/6117</t>
  </si>
  <si>
    <t>Housing</t>
  </si>
  <si>
    <t>O0001/IE00121/F0041/X049/R0229/001/6117</t>
  </si>
  <si>
    <t>O0001/IE00595/F0041/X049/R0229/001/6117</t>
  </si>
  <si>
    <t>O0001/IE00040/F0041/X049/R0229/001/6117</t>
  </si>
  <si>
    <t>O0001/IE00043/F0041/X049/R0229/001/6117</t>
  </si>
  <si>
    <t>O0001/IE00044/F0041/X049/R0229/001/6117</t>
  </si>
  <si>
    <t>O0001/IE00045/F0041/X049/R0229/001/6117</t>
  </si>
  <si>
    <t>O0001/IE03969/F0041/X049/R0229/001/6117</t>
  </si>
  <si>
    <t>O0001/IE01526/F0041/X049/R0229/001/6117</t>
  </si>
  <si>
    <t>O0001/IE00126/F0041/X049/R0229/001/6117</t>
  </si>
  <si>
    <t>O0001/IE00036/F0041/X049/R0229/001/6117</t>
  </si>
  <si>
    <t>O0001/IE00144/F0041/X049/R0229/001/6117</t>
  </si>
  <si>
    <t>O0001/IE00061/F0041/X049/R0229/001/6117</t>
  </si>
  <si>
    <t>O0001/IE00063/F0041/X049/R0229/001/6117</t>
  </si>
  <si>
    <t>O0001/IE00759/F0041/X049/R0229/001/6117</t>
  </si>
  <si>
    <t>O0001/IE00143/F0041/X049/R0229/001/6117</t>
  </si>
  <si>
    <t>O0001/IE00595/F0041/X048/R0229/001/6119</t>
  </si>
  <si>
    <t>Budget and Treasury Office</t>
  </si>
  <si>
    <t>O0001/IE00040/F0041/X048/R0229/001/6119</t>
  </si>
  <si>
    <t>O0001/IE00043/F0041/X048/R0229/001/6119</t>
  </si>
  <si>
    <t>O0001/IE00044/F0041/X048/R0229/001/6119</t>
  </si>
  <si>
    <t>O0001/IE00045/F0041/X048/R0229/001/6119</t>
  </si>
  <si>
    <t>O0001/IE03969/F0041/X048/R0229/001/6119</t>
  </si>
  <si>
    <t>O0001/IE01525/F0041/X048/R0229/001/6119</t>
  </si>
  <si>
    <t>Budget and Treasury Offi</t>
  </si>
  <si>
    <t>O0001/IE01526/F0041/X048/R0229/001/6119</t>
  </si>
  <si>
    <t>O0001/IE01533/F0041/X048/R0229/001/6119</t>
  </si>
  <si>
    <t>O0001/IE01521/F0041/X048/R0229/001/6119</t>
  </si>
  <si>
    <t>O0001/IE00036/F0041/X048/R0229/001/6119</t>
  </si>
  <si>
    <t>O0001/IE00126/F0041/X048/R0229/001/6119</t>
  </si>
  <si>
    <t>External Audit Fees</t>
  </si>
  <si>
    <t>O0001/IE00595/F1177/X048/R0229/001/6119</t>
  </si>
  <si>
    <t>O0001/IE00045/F1177/X048/R0229/001/6119</t>
  </si>
  <si>
    <t>O0001/IE00036/F1177/X048/R0229/001/6119</t>
  </si>
  <si>
    <t>O0001/IE00534/F0045/X051/R0229/001/6104</t>
  </si>
  <si>
    <t>O0001/IE00848/F0045/X101/R0229/001/6155</t>
  </si>
  <si>
    <t>Town Planning, Building Regulations and Enforcement, and City Engineer</t>
  </si>
  <si>
    <t>TOWN MANAGEMENT</t>
  </si>
  <si>
    <t>Mayor and Council</t>
  </si>
  <si>
    <t>SPEAKER</t>
  </si>
  <si>
    <t>LIM331_LIM331_P016_Publi</t>
  </si>
  <si>
    <t>Corporate Wide Strategic</t>
  </si>
  <si>
    <t>ECONOMIC DEVELOPMENT</t>
  </si>
  <si>
    <t>Animal Care and Diseases</t>
  </si>
  <si>
    <t>COMMUNITY, OTHER</t>
  </si>
  <si>
    <t>LIM331_2017/18IDP_SPORTS</t>
  </si>
  <si>
    <t>Recreational Facilities</t>
  </si>
  <si>
    <t>SPORT &amp; RECREATION</t>
  </si>
  <si>
    <t>Electricity</t>
  </si>
  <si>
    <t>ELECTRICITY, OTHER</t>
  </si>
  <si>
    <t>O0001/IE00121/F0041/X048/R0229/001/6119</t>
  </si>
  <si>
    <t>Opening Balance</t>
  </si>
  <si>
    <t>O0001/IE01530/F1177/X048/R0229/001/6119</t>
  </si>
  <si>
    <t>O0001/IE00595/F0041/X096/R0229/001/6151</t>
  </si>
  <si>
    <t>STRATEGIC PLANNING</t>
  </si>
  <si>
    <t>O0001/IE00040/F0041/X096/R0229/001/6151</t>
  </si>
  <si>
    <t>O0001/IE00043/F0041/X096/R0229/001/6151</t>
  </si>
  <si>
    <t>O0001/IE00044/F0041/X096/R0229/001/6151</t>
  </si>
  <si>
    <t>O0001/IE00045/F0041/X096/R0229/001/6151</t>
  </si>
  <si>
    <t>O0001/IE01525/F0041/X096/R0229/001/6151</t>
  </si>
  <si>
    <t>O0001/IE01526/F0041/X096/R0229/001/6151</t>
  </si>
  <si>
    <t>O0001/IE01533/F0041/X096/R0229/001/6151</t>
  </si>
  <si>
    <t>O0001/IE00126/F0041/X096/R0229/001/6151</t>
  </si>
  <si>
    <t>O0001/IE00036/F0041/X096/R0229/001/6151</t>
  </si>
  <si>
    <t>O0001/IE00062/F0041/X096/R0229/001/6151</t>
  </si>
  <si>
    <t>O0001/IE00060/F0041/X096/R0229/001/6151</t>
  </si>
  <si>
    <t>O0001/IE01581/F0041/X096/R0229/001/6151</t>
  </si>
  <si>
    <t>O0001/IE00143/F0041/X096/R0229/001/6151</t>
  </si>
  <si>
    <t>O0001/IE00063/F0041/X096/R0229/001/6151</t>
  </si>
  <si>
    <t>O0001/IE00061/F0041/X096/R0229/001/6151</t>
  </si>
  <si>
    <t>O0001/IE00144/F0041/X096/R0229/001/6151</t>
  </si>
  <si>
    <t>O0001/IE00121/F0041/X096/R0229/001/6151</t>
  </si>
  <si>
    <t>O0001/IE00595/F0041/X096/R0229/001/6153</t>
  </si>
  <si>
    <t>O0001/IE00040/F0041/X096/R0229/001/6153</t>
  </si>
  <si>
    <t>O0001/IE00043/F0041/X096/R0229/001/6153</t>
  </si>
  <si>
    <t>O0001/IE00044/F0041/X096/R0229/001/6153</t>
  </si>
  <si>
    <t>O0001/IE00045/F0041/X096/R0229/001/6153</t>
  </si>
  <si>
    <t>O0001/IE03969/F0041/X096/R0229/001/6153</t>
  </si>
  <si>
    <t>O0001/IE01526/F0041/X096/R0229/001/6153</t>
  </si>
  <si>
    <t>O0001/IE01533/F0041/X096/R0229/001/6153</t>
  </si>
  <si>
    <t>O0001/IE01521/F0041/X096/R0229/001/6153</t>
  </si>
  <si>
    <t>O0001/IE00126/F0041/X096/R0229/001/6153</t>
  </si>
  <si>
    <t>O0001/IE00036/F0041/X096/R0229/001/6153</t>
  </si>
  <si>
    <t>O0001/IE00143/F0041/X096/R0229/001/6153</t>
  </si>
  <si>
    <t>O0001/IE00144/F0041/X096/R0229/001/6153</t>
  </si>
  <si>
    <t>O0001/IE01581/F0041/X096/R0229/001/6153</t>
  </si>
  <si>
    <t>O0001/IE00060/F0041/X096/R0229/001/6153</t>
  </si>
  <si>
    <t>O0001/IE00061/F0041/X096/R0229/001/6153</t>
  </si>
  <si>
    <t>O0001/IE00062/F0041/X096/R0229/001/6153</t>
  </si>
  <si>
    <t>O0001/IE00063/F0041/X096/R0229/001/6153</t>
  </si>
  <si>
    <t>D0001/IR01426/F0047/X096/R0230/001/6153</t>
  </si>
  <si>
    <t>D0001/IR01257/F0046/X096/R0230/001/6153</t>
  </si>
  <si>
    <t>Rental from Fixed Assets</t>
  </si>
  <si>
    <t>O0001/IE01525/F0041/X098/R0229/001/6153</t>
  </si>
  <si>
    <t>O0001/IE00121/F0041/X096/R0229/001/6153</t>
  </si>
  <si>
    <t>O0001/IE00847/F0041/X098/R0230/001/6153</t>
  </si>
  <si>
    <t>Research and Advisory</t>
  </si>
  <si>
    <t>O0001/IE01530/F0041/X096/R0229/001/6153</t>
  </si>
  <si>
    <t>Licences and Permits</t>
  </si>
  <si>
    <t>D0001/IR01411/F2496/X101/R0230/001/6155</t>
  </si>
  <si>
    <t>D0001/IR01112/F0047/X101/R0230/001/6155</t>
  </si>
  <si>
    <t>O0001/IE00848/F0041/X101/R0230/001/6155</t>
  </si>
  <si>
    <t>O0001/IE01525/F0041/X101/R0415/001/6155</t>
  </si>
  <si>
    <t>O0001/IE00001/F0041/X101/R0229/001/6155</t>
  </si>
  <si>
    <t>Town Planner</t>
  </si>
  <si>
    <t>O0001/IE00121/F0041/X101/R0229/001/6155</t>
  </si>
  <si>
    <t>PAYROLL ADMIN</t>
  </si>
  <si>
    <t>O0001/IE00060/F0041/X051/R0229/001/6121</t>
  </si>
  <si>
    <t>O0001/IE00060/F1177/X051/R0229/001/6121</t>
  </si>
  <si>
    <t>O0001/IE00121/F0041/X051/R0229/001/6121</t>
  </si>
  <si>
    <t>Sports Grounds and Stadi</t>
  </si>
  <si>
    <t>VEHICLE LICENCING &amp; TEST</t>
  </si>
  <si>
    <t>O0001/IE00036/F0041/X051/R0229/001/6121</t>
  </si>
  <si>
    <t>O0001/IE01526/F0041/X051/R0229/001/6121</t>
  </si>
  <si>
    <t>O0001/IE03969/F0041/X051/R0229/001/6121</t>
  </si>
  <si>
    <t>O0001/IE00044/F0041/X051/R0229/001/6121</t>
  </si>
  <si>
    <t>O0001/IE00043/F0041/X051/R0229/001/6121</t>
  </si>
  <si>
    <t>O0001/IE00144/F0041/X051/R0229/001/6121</t>
  </si>
  <si>
    <t>O0001/IE00063/F0041/X051/R0229/001/6121</t>
  </si>
  <si>
    <t>Payroll Admin</t>
  </si>
  <si>
    <t>O0001/IE00144/F0041/X101/R0229/001/6155</t>
  </si>
  <si>
    <t>O0001/IE00061/F0041/X101/R0229/001/6155</t>
  </si>
  <si>
    <t>O0001/IE00063/F0041/X101/R0229/001/6155</t>
  </si>
  <si>
    <t>O0001/IE00143/F0041/X101/R0229/001/6155</t>
  </si>
  <si>
    <t>O0001/IE01581/F0041/X101/R0229/001/6155</t>
  </si>
  <si>
    <t>O0001/IE00060/F0041/X101/R0229/001/6155</t>
  </si>
  <si>
    <t>O0001/IE00062/F0041/X101/R0229/001/6155</t>
  </si>
  <si>
    <t>O0001/IE00036/F0041/X101/R0229/001/6155</t>
  </si>
  <si>
    <t>O0001/IE00126/F0041/X101/R0229/001/6155</t>
  </si>
  <si>
    <t>O0001/IE01521/F0041/X101/R0229/001/6155</t>
  </si>
  <si>
    <t>O0001/IE01533/F0041/X101/R0229/001/6155</t>
  </si>
  <si>
    <t>O0001/IE01526/F0041/X101/R0229/001/6155</t>
  </si>
  <si>
    <t>O0001/IE00045/F0041/X101/R0229/001/6155</t>
  </si>
  <si>
    <t>O0001/IE00044/F0041/X101/R0229/001/6155</t>
  </si>
  <si>
    <t>O0001/IE00043/F0041/X101/R0229/001/6155</t>
  </si>
  <si>
    <t>O0001/IE00040/F0041/X101/R0229/001/6155</t>
  </si>
  <si>
    <t>O0001/IE00595/F0041/X101/R0229/001/6155</t>
  </si>
  <si>
    <t>O0001/IE03969/F0041/X101/R0229/001/6155</t>
  </si>
  <si>
    <t>O0001/IE00062/F0041/X024/R0229/001/6251</t>
  </si>
  <si>
    <t>Libraries and Archives</t>
  </si>
  <si>
    <t>LIBRARY &amp; ARCHIVES</t>
  </si>
  <si>
    <t>O0001/IE00060/F0041/X024/R0229/001/6251</t>
  </si>
  <si>
    <t>O0001/IE00143/F0041/X024/R0229/001/6251</t>
  </si>
  <si>
    <t>O0001/IE01581/F0041/X024/R0229/001/6251</t>
  </si>
  <si>
    <t>O0001/IE00061/F0041/X024/R0229/001/6251</t>
  </si>
  <si>
    <t>O0001/IE00144/F0041/X024/R0229/001/6251</t>
  </si>
  <si>
    <t>O0001/IE00595/F0041/X024/R0229/001/6251</t>
  </si>
  <si>
    <t>O0001/IE00040/F0041/X024/R0229/001/6251</t>
  </si>
  <si>
    <t>O0001/IE00043/F0041/X024/R0229/001/6251</t>
  </si>
  <si>
    <t>O0001/IE00044/F0041/X024/R0229/001/6251</t>
  </si>
  <si>
    <t>O0001/IE00045/F0041/X024/R0229/001/6251</t>
  </si>
  <si>
    <t>O0001/IE03969/F0041/X024/R0229/001/6251</t>
  </si>
  <si>
    <t>O0001/IE01526/F0041/X024/R0229/001/6251</t>
  </si>
  <si>
    <t>O0001/IE01533/F0041/X024/R0229/001/6251</t>
  </si>
  <si>
    <t>O0001/IE00036/F0041/X024/R0229/001/6251</t>
  </si>
  <si>
    <t>D0001/IR00961/F0047/X024/R0230/001/6251</t>
  </si>
  <si>
    <t>O0001/IE00595/F0041/X006/R0229/001/6255</t>
  </si>
  <si>
    <t>COMMUNITY HALLS &amp; FACILITIES</t>
  </si>
  <si>
    <t>O0001/IE00040/F0041/X006/R0229/001/6255</t>
  </si>
  <si>
    <t>O0001/IE00043/F0041/X006/R0229/001/6255</t>
  </si>
  <si>
    <t>O0001/IE00044/F0041/X006/R0229/001/6255</t>
  </si>
  <si>
    <t>O0001/IE00045/F0041/X006/R0229/001/6255</t>
  </si>
  <si>
    <t>O0001/IE03969/F0041/X006/R0229/001/6255</t>
  </si>
  <si>
    <t>O0001/IE01526/F0041/X006/R0229/001/6255</t>
  </si>
  <si>
    <t>O0001/IE01533/F0041/X006/R0229/001/6255</t>
  </si>
  <si>
    <t>O0001/IE01521/F0041/X006/R0229/001/6255</t>
  </si>
  <si>
    <t>Community Halls and Faci</t>
  </si>
  <si>
    <t>COMMUNITY HALLS &amp; FACILI</t>
  </si>
  <si>
    <t>O0001/IE00126/F0041/X006/R0229/001/6255</t>
  </si>
  <si>
    <t>O0001/IE00036/F0041/X006/R0229/001/6255</t>
  </si>
  <si>
    <t>D0001/IR01257/F0046/X006/R0230/001/6255</t>
  </si>
  <si>
    <t>O0001/IE01530/F0041/X006/R0229/001/6255</t>
  </si>
  <si>
    <t>O0001/IE00595/F0041/X004/R0229/001/6267</t>
  </si>
  <si>
    <t>Cemeteries, Funeral Parlours and Crematoriums</t>
  </si>
  <si>
    <t>CEMETERIES &amp; CREMATORIUMS</t>
  </si>
  <si>
    <t>O0001/IE00040/F0041/X004/R0229/001/6267</t>
  </si>
  <si>
    <t>O0001/IE00043/F0041/X004/R0229/001/6267</t>
  </si>
  <si>
    <t>O0001/IE00044/F0041/X004/R0229/001/6267</t>
  </si>
  <si>
    <t>O0001/IE00045/F0041/X004/R0229/001/6267</t>
  </si>
  <si>
    <t>O0001/IE03969/F0041/X004/R0229/001/6267</t>
  </si>
  <si>
    <t>O0001/IE01526/F0041/X004/R0229/001/6267</t>
  </si>
  <si>
    <t>O0001/IE01533/F0041/X004/R0229/001/6267</t>
  </si>
  <si>
    <t>O0001/IE01521/F0041/X004/R0229/001/6267</t>
  </si>
  <si>
    <t>CEMETERIES &amp; CREMATORIUM</t>
  </si>
  <si>
    <t>O0001/IE00126/F0041/X004/R0229/001/6267</t>
  </si>
  <si>
    <t>O0001/IE00036/F0041/X004/R0229/001/6267</t>
  </si>
  <si>
    <t>D0001/IR01433/F0047/X004/R0230/001/6267</t>
  </si>
  <si>
    <t>O3201-1/IE00649/F0041/X004/R0230/001/6267</t>
  </si>
  <si>
    <t>LIM331_2017/18IDP_Cementry Maintenance</t>
  </si>
  <si>
    <t>O3201-1/IE00651/F0930/X004/R0230/001/6267</t>
  </si>
  <si>
    <t>LIM331_2017/18IDP_Cement</t>
  </si>
  <si>
    <t>Maintenance of Unspecifi</t>
  </si>
  <si>
    <t>D0001/IR01433/F0047/X004/R0023/001/6267</t>
  </si>
  <si>
    <t>D0001/IR01433/F0047/X004/R0041/001/6267</t>
  </si>
  <si>
    <t>D0001/IR01433/F0047/X004/R0021/001/6267</t>
  </si>
  <si>
    <t>D0001/IR01433/F0047/X004/R0022/001/6267</t>
  </si>
  <si>
    <t>O0001/IE00121/F0041/X004/R0229/001/6267</t>
  </si>
  <si>
    <t>O0001/IE01530/F0041/X004/R0229/001/6267</t>
  </si>
  <si>
    <t>O0001/IE00036/F0041/X003/R0229/001/6273</t>
  </si>
  <si>
    <t>O0001/IE01526/F0041/X003/R0229/001/6273</t>
  </si>
  <si>
    <t>O0001/IE03969/F0041/X003/R0229/001/6273</t>
  </si>
  <si>
    <t>O0001/IE00045/F0041/X003/R0229/001/6273</t>
  </si>
  <si>
    <t>O0001/IE00044/F0041/X003/R0229/001/6273</t>
  </si>
  <si>
    <t>O0001/IE00043/F0041/X003/R0229/001/6273</t>
  </si>
  <si>
    <t>O0001/IE00040/F0041/X003/R0229/001/6273</t>
  </si>
  <si>
    <t>O0001/IE00063/F0041/X003/R0229/001/6273</t>
  </si>
  <si>
    <t>O0001/IE00595/F0041/X003/R0229/001/6273</t>
  </si>
  <si>
    <t>O0001/IE00143/F0041/X003/R0229/001/6273</t>
  </si>
  <si>
    <t>O0001/IE00144/F0041/X003/R0229/001/6273</t>
  </si>
  <si>
    <t>O0001/IE01581/F0041/X003/R0229/001/6273</t>
  </si>
  <si>
    <t>O0001/IE00060/F0041/X003/R0229/001/6273</t>
  </si>
  <si>
    <t>O0001/IE00061/F0041/X003/R0229/001/6273</t>
  </si>
  <si>
    <t>O0001/IE00062/F0041/X003/R0229/001/6273</t>
  </si>
  <si>
    <t>_LIM331_6273_Animal Feeds</t>
  </si>
  <si>
    <t>Fencing and Fences</t>
  </si>
  <si>
    <t>O0021-2/IE00754/F0041/X108/R0230/001/6273</t>
  </si>
  <si>
    <t>_LIM331_6273_Community Safety Liason</t>
  </si>
  <si>
    <t>Gifts and Promotional Items</t>
  </si>
  <si>
    <t>O0001/IE00121/F0041/X003/R0229/001/6273</t>
  </si>
  <si>
    <t>O0001/IE00143/F0041/X079/R0229/001/6301</t>
  </si>
  <si>
    <t>HOUSING</t>
  </si>
  <si>
    <t>O0001/IE00144/F0041/X079/R0229/001/6301</t>
  </si>
  <si>
    <t>O0001/IE01581/F0041/X079/R0229/001/6301</t>
  </si>
  <si>
    <t>O0001/IE00060/F0041/X079/R0229/001/6301</t>
  </si>
  <si>
    <t>O0001/IE00061/F0041/X079/R0229/001/6301</t>
  </si>
  <si>
    <t>O0001/IE00062/F0041/X079/R0229/001/6301</t>
  </si>
  <si>
    <t>O0001/IE00063/F0041/X079/R0229/001/6301</t>
  </si>
  <si>
    <t>O0001/IE00595/F0041/X079/R0229/001/6301</t>
  </si>
  <si>
    <t>O0001/IE00040/F0041/X079/R0229/001/6301</t>
  </si>
  <si>
    <t>O0001/IE00043/F0041/X079/R0229/001/6301</t>
  </si>
  <si>
    <t>O0001/IE00044/F0041/X079/R0229/001/6301</t>
  </si>
  <si>
    <t>O0001/IE00045/F0041/X079/R0229/001/6301</t>
  </si>
  <si>
    <t>O0001/IE03969/F0041/X079/R0229/001/6301</t>
  </si>
  <si>
    <t>O0001/IE01526/F0041/X079/R0229/001/6301</t>
  </si>
  <si>
    <t>O0001/IE01521/F0041/X079/R0229/001/6301</t>
  </si>
  <si>
    <t>O0001/IE00126/F0041/X079/R0229/001/6301</t>
  </si>
  <si>
    <t>O0001/IE00036/F0041/X079/R0229/001/6301</t>
  </si>
  <si>
    <t>D0001/IR01102/F0046/X079/R0230/001/6301</t>
  </si>
  <si>
    <t>O0001/IE00121/F0041/X077/R0229/001/6301</t>
  </si>
  <si>
    <t>O0001/IE00595/F0041/X057/R0229/001/6351</t>
  </si>
  <si>
    <t>Security Services</t>
  </si>
  <si>
    <t>SECURITY SERVICES</t>
  </si>
  <si>
    <t>O0001/IE00040/F0041/X057/R0229/001/6351</t>
  </si>
  <si>
    <t>O0001/IE00043/F0041/X057/R0229/001/6351</t>
  </si>
  <si>
    <t>O0001/IE00044/F0041/X057/R0229/001/6351</t>
  </si>
  <si>
    <t>O0001/IE00045/F0041/X057/R0229/001/6351</t>
  </si>
  <si>
    <t>O0001/IE03969/F0041/X057/R0229/001/6351</t>
  </si>
  <si>
    <t>O0001/IE01526/F0041/X057/R0229/001/6351</t>
  </si>
  <si>
    <t>O0001/IE01533/F0041/X057/R0229/001/6351</t>
  </si>
  <si>
    <t>O0001/IE01521/F0041/X057/R0229/001/6351</t>
  </si>
  <si>
    <t>O0001/IE00126/F0041/X057/R0229/001/6351</t>
  </si>
  <si>
    <t>O0001/IE00036/F0041/X057/R0229/001/6351</t>
  </si>
  <si>
    <t>Shift Additional Remuneration</t>
  </si>
  <si>
    <t>O0001/IE00143/F0041/X057/R0229/001/6351</t>
  </si>
  <si>
    <t>O0001/IE00144/F0041/X057/R0229/001/6351</t>
  </si>
  <si>
    <t>O0001/IE01581/F0041/X057/R0229/001/6351</t>
  </si>
  <si>
    <t>O0001/IE00060/F0041/X057/R0229/001/6351</t>
  </si>
  <si>
    <t>O0001/IE00061/F0041/X057/R0229/001/6351</t>
  </si>
  <si>
    <t>O0001/IE00062/F0041/X057/R0229/001/6351</t>
  </si>
  <si>
    <t>O0001/IE00063/F0041/X057/R0229/001/6351</t>
  </si>
  <si>
    <t>O1550-3/IE00650/F2496/X057/R0229/001/6351</t>
  </si>
  <si>
    <t>LIM331_2017/18IDP_Maintenance of Camera &amp; Walkthrough Detector</t>
  </si>
  <si>
    <t>LIM331_2017/18IDP_Installation of Cameras, Monitors &amp; Walkthrough Detector</t>
  </si>
  <si>
    <t>O0001/IE00698/F0041/X057/R0229/001/6351</t>
  </si>
  <si>
    <t>O0001/IE00810/F0041/X057/R0229/001/6351</t>
  </si>
  <si>
    <t>O0001/IE00121/F0041/X057/R0229/001/6351</t>
  </si>
  <si>
    <t>O0001/IE00539/F0041/X057/R0229/001/6351</t>
  </si>
  <si>
    <t>O0001/IE01530/F0041/X057/R0229/001/6351</t>
  </si>
  <si>
    <t>O0001/IE01581/F0041/X019/R0229/001/6353</t>
  </si>
  <si>
    <t>Disaster Management</t>
  </si>
  <si>
    <t>DISASTER</t>
  </si>
  <si>
    <t>O0001/IE00143/F0041/X019/R0229/001/6353</t>
  </si>
  <si>
    <t>O0001/IE00144/F0041/X019/R0229/001/6353</t>
  </si>
  <si>
    <t>O0001/IE00061/F0041/X019/R0229/001/6353</t>
  </si>
  <si>
    <t>O0001/IE00062/F0041/X019/R0229/001/6353</t>
  </si>
  <si>
    <t>O0001/IE00063/F0041/X019/R0229/001/6353</t>
  </si>
  <si>
    <t>O0001/IE00060/F0041/X019/R0229/001/6353</t>
  </si>
  <si>
    <t>O0001/IE00595/F0041/X019/R0229/001/6353</t>
  </si>
  <si>
    <t>O0001/IE00040/F0041/X019/R0229/001/6353</t>
  </si>
  <si>
    <t>O0001/IE00043/F0041/X019/R0229/001/6353</t>
  </si>
  <si>
    <t>O0001/IE00044/F0041/X019/R0229/001/6353</t>
  </si>
  <si>
    <t>O0001/IE00045/F0041/X019/R0229/001/6353</t>
  </si>
  <si>
    <t>O0001/IE03969/F0041/X019/R0229/001/6353</t>
  </si>
  <si>
    <t>O0001/IE01535/F0041/X019/R0229/001/6353</t>
  </si>
  <si>
    <t>O0001/IE01526/F0041/X019/R0229/001/6353</t>
  </si>
  <si>
    <t>O0001/IE01533/F0041/X019/R0229/001/6353</t>
  </si>
  <si>
    <t>O0001/IE01521/F0041/X019/R0229/001/6353</t>
  </si>
  <si>
    <t>O0001/IE00126/F0041/X019/R0229/001/6353</t>
  </si>
  <si>
    <t>O0001/IE00036/F0041/X019/R0229/001/6353</t>
  </si>
  <si>
    <t>O0001/IE00121/F0041/X019/R0229/001/6353</t>
  </si>
  <si>
    <t>O0001/IE00847/F0041/X019/R0230/001/6353</t>
  </si>
  <si>
    <t>O0001/IE00143/F0041/X125/R0229/001/6401</t>
  </si>
  <si>
    <t>O0001/IE00144/F0041/X125/R0229/001/6401</t>
  </si>
  <si>
    <t>Sports Grounds and Stadiums</t>
  </si>
  <si>
    <t>O0001/IE01581/F0041/X125/R0229/001/6401</t>
  </si>
  <si>
    <t>O0001/IE00060/F0041/X125/R0229/001/6401</t>
  </si>
  <si>
    <t>O0001/IE00061/F0041/X125/R0229/001/6401</t>
  </si>
  <si>
    <t>O0001/IE00062/F0041/X125/R0229/001/6401</t>
  </si>
  <si>
    <t>O0001/IE00063/F0041/X125/R0229/001/6401</t>
  </si>
  <si>
    <t>O0001/IE00595/F0041/X125/R0229/001/6401</t>
  </si>
  <si>
    <t>O0001/IE00040/F0041/X125/R0229/001/6401</t>
  </si>
  <si>
    <t>O0001/IE00043/F0041/X125/R0229/001/6401</t>
  </si>
  <si>
    <t>O0001/IE00044/F0041/X125/R0229/001/6401</t>
  </si>
  <si>
    <t>O0001/IE00045/F0041/X125/R0229/001/6401</t>
  </si>
  <si>
    <t>O0001/IE03969/F0041/X125/R0229/001/6401</t>
  </si>
  <si>
    <t>O0001/IE01526/F0041/X125/R0229/001/6401</t>
  </si>
  <si>
    <t>O0001/IE01533/F0041/X125/R0229/001/6401</t>
  </si>
  <si>
    <t>O0001/IE00126/F0041/X125/R0229/001/6401</t>
  </si>
  <si>
    <t>O0001/IE00036/F0041/X125/R0229/001/6401</t>
  </si>
  <si>
    <t>O0001/IE01521/F0041/X125/R0229/001/6401</t>
  </si>
  <si>
    <t>D0001/IR01149/F0046/X125/R0230/001/6401</t>
  </si>
  <si>
    <t>O0001/IE00121/F0041/X125/R0229/001/6401</t>
  </si>
  <si>
    <t>O0001/IE00594/F0041/X125/R0230/001/6401</t>
  </si>
  <si>
    <t>Signage</t>
  </si>
  <si>
    <t>LIM331_2017/18IDP_Roads Maintenance</t>
  </si>
  <si>
    <t>Civil</t>
  </si>
  <si>
    <t>ROADS</t>
  </si>
  <si>
    <t>O2392-1/IE00534/F0933/X116/R0230/001/6601</t>
  </si>
  <si>
    <t>O0001/IE00144/F0041/X116/R0229/001/6601</t>
  </si>
  <si>
    <t>O0001/IE00143/F0041/X116/R0229/001/6601</t>
  </si>
  <si>
    <t>O0001/IE01581/F0041/X116/R0229/001/6601</t>
  </si>
  <si>
    <t>O0001/IE00062/F0041/X116/R0229/001/6601</t>
  </si>
  <si>
    <t>O0001/IE00060/F0041/X116/R0229/001/6601</t>
  </si>
  <si>
    <t>O0001/IE00061/F0041/X116/R0229/001/6601</t>
  </si>
  <si>
    <t>O0001/IE00063/F0041/X116/R0229/001/6601</t>
  </si>
  <si>
    <t>O0001/IE00595/F0041/X116/R0229/001/6601</t>
  </si>
  <si>
    <t>O0001/IE00040/F0041/X116/R0229/001/6601</t>
  </si>
  <si>
    <t>O0001/IE00043/F0041/X116/R0229/001/6601</t>
  </si>
  <si>
    <t>O0001/IE00044/F0041/X116/R0229/001/6601</t>
  </si>
  <si>
    <t>O0001/IE00045/F0041/X116/R0229/001/6601</t>
  </si>
  <si>
    <t>O0001/IE03969/F0041/X116/R0229/001/6601</t>
  </si>
  <si>
    <t>O0001/IE03970/F0041/X116/R0229/001/6601</t>
  </si>
  <si>
    <t>Shift Additional Remuner</t>
  </si>
  <si>
    <t>O0001/IE01526/F0041/X116/R0229/001/6601</t>
  </si>
  <si>
    <t>O0001/IE01533/F0041/X116/R0229/001/6601</t>
  </si>
  <si>
    <t>O0001/IE01521/F0041/X116/R0229/001/6601</t>
  </si>
  <si>
    <t>O0001/IE00126/F0041/X116/R0229/001/6601</t>
  </si>
  <si>
    <t>O0001/IE00036/F0041/X116/R0229/001/6601</t>
  </si>
  <si>
    <t>Expanded Public Works Pr</t>
  </si>
  <si>
    <t>O0001/IE00121/F0041/X116/R0229/001/6601</t>
  </si>
  <si>
    <t>O0001/IE01535/F0041/X116/R0229/001/6601</t>
  </si>
  <si>
    <t>O0001/IE01530/F0041/X116/R0229/001/6601</t>
  </si>
  <si>
    <t>O0001/IE00040/F0041/X115/R0229/001/6603</t>
  </si>
  <si>
    <t>Public Transport</t>
  </si>
  <si>
    <t>PUBLIC TRANSPORT</t>
  </si>
  <si>
    <t>O0001/IE00595/F0041/X115/R0229/001/6603</t>
  </si>
  <si>
    <t>O0001/IE00044/F0041/X115/R0229/001/6603</t>
  </si>
  <si>
    <t>O0001/IE00045/F0041/X115/R0229/001/6603</t>
  </si>
  <si>
    <t>O0001/IE03969/F0041/X115/R0229/001/6603</t>
  </si>
  <si>
    <t>O0001/IE01526/F0041/X115/R0229/001/6603</t>
  </si>
  <si>
    <t>O0001/IE01533/F0041/X115/R0229/001/6603</t>
  </si>
  <si>
    <t>O0001/IE00036/F0041/X115/R0229/001/6603</t>
  </si>
  <si>
    <t>O0001/IE00595/F0041/X119/R0229/001/6607</t>
  </si>
  <si>
    <t>Road and Traffic Regulation</t>
  </si>
  <si>
    <t>VEHICLE LICENCING &amp; TESTING</t>
  </si>
  <si>
    <t>O0001/IE00040/F0041/X119/R0229/001/6607</t>
  </si>
  <si>
    <t>O0001/IE00043/F0041/X119/R0229/001/6607</t>
  </si>
  <si>
    <t>O0001/IE00044/F0041/X119/R0229/001/6607</t>
  </si>
  <si>
    <t>O0001/IE00045/F0041/X119/R0229/001/6607</t>
  </si>
  <si>
    <t>O0001/IE03969/F0041/X119/R0229/001/6607</t>
  </si>
  <si>
    <t>O0001/IE01526/F0041/X119/R0229/001/6607</t>
  </si>
  <si>
    <t>O0001/IE01533/F0041/X119/R0229/001/6607</t>
  </si>
  <si>
    <t>O0001/IE01521/F0041/X119/R0229/001/6607</t>
  </si>
  <si>
    <t>O0001/IE00126/F0041/X119/R0229/001/6607</t>
  </si>
  <si>
    <t>O0001/IE00036/F0041/X119/R0229/001/6607</t>
  </si>
  <si>
    <t>O0001/IE00143/F0041/X119/R0229/001/6607</t>
  </si>
  <si>
    <t>O0001/IE00144/F0041/X119/R0229/001/6607</t>
  </si>
  <si>
    <t>O0001/IE01581/F0041/X119/R0229/001/6607</t>
  </si>
  <si>
    <t>O0001/IE00060/F0041/X119/R0229/001/6607</t>
  </si>
  <si>
    <t>O0001/IE00061/F0041/X119/R0229/001/6607</t>
  </si>
  <si>
    <t>O0001/IE00062/F0041/X119/R0229/001/6607</t>
  </si>
  <si>
    <t>O0001/IE00063/F0041/X119/R0229/001/6607</t>
  </si>
  <si>
    <t>O1550-2/IE00650/F2496/X119/R0229/001/6607</t>
  </si>
  <si>
    <t>LIM331_2017/18IDP_Maintenance of Vehicle Lisencing &amp; Speed Camera</t>
  </si>
  <si>
    <t>D0001/IR01519/F0044/X119/R0229/001/6607</t>
  </si>
  <si>
    <t>Drivers Licence Application/Duplicate Drivers Licences</t>
  </si>
  <si>
    <t>D0001/IR01527/F0044/X119/R0229/001/6607</t>
  </si>
  <si>
    <t>D0001/IR01140/F0042/X119/R0230/001/6607</t>
  </si>
  <si>
    <t>Fines, Penalties and Forfeits</t>
  </si>
  <si>
    <t>O0001/IE01525/F0041/X119/R0230/001/6607</t>
  </si>
  <si>
    <t>C0006-5/IA06282/F0002/X119/R0230/001/6607</t>
  </si>
  <si>
    <t>_LIM331_6607_Fire Arms</t>
  </si>
  <si>
    <t>C0006-6/IA06282/F0002/X119/R0230/001/6607</t>
  </si>
  <si>
    <t>_LIM331_6607_Law Enforcement Equipment</t>
  </si>
  <si>
    <t>O0001/IE00121/F0041/X119/R0229/001/6607</t>
  </si>
  <si>
    <t>O0001/IE00045/F0041/X032/R0229/001/6707</t>
  </si>
  <si>
    <t>O0001/IE00595/F0041/X032/R0229/001/6707</t>
  </si>
  <si>
    <t>O0001/IE00040/F0041/X032/R0229/001/6707</t>
  </si>
  <si>
    <t>O0001/IE00043/F0041/X032/R0229/001/6707</t>
  </si>
  <si>
    <t>O0001/IE00044/F0041/X032/R0229/001/6707</t>
  </si>
  <si>
    <t>O0001/IE03969/F0041/X032/R0229/001/6707</t>
  </si>
  <si>
    <t>O0001/IE01525/F0041/X032/R0229/001/6707</t>
  </si>
  <si>
    <t>O0001/IE01526/F0041/X032/R0229/001/6707</t>
  </si>
  <si>
    <t>O0001/IE00126/F0041/X032/R0229/001/6707</t>
  </si>
  <si>
    <t>O0001/IE00036/F0041/X032/R0229/001/6707</t>
  </si>
  <si>
    <t>O0001/IE00579/F0041/X032/R0229/001/6707</t>
  </si>
  <si>
    <t>O2774-2/IE00534/F0930/X032/R0230/001/6707</t>
  </si>
  <si>
    <t>LIM331_2017/18IDP_Electrical Maintenance Buildings</t>
  </si>
  <si>
    <t>O2385-1/IE00534/F0930/X032/R0230/001/6707</t>
  </si>
  <si>
    <t>LIM331_2017/18IDP_Electrical Maintenance Road Furniture</t>
  </si>
  <si>
    <t>O0001/IE00143/F0041/X032/R0229/001/6707</t>
  </si>
  <si>
    <t>O0001/IE00144/F0041/X032/R0229/001/6707</t>
  </si>
  <si>
    <t>O0001/IE01581/F0041/X032/R0229/001/6707</t>
  </si>
  <si>
    <t>O0001/IE00060/F0041/X032/R0229/001/6707</t>
  </si>
  <si>
    <t>O0001/IE00061/F0041/X032/R0229/001/6707</t>
  </si>
  <si>
    <t>O0001/IE00062/F0041/X032/R0229/001/6707</t>
  </si>
  <si>
    <t>O0001/IE00063/F0041/X032/R0229/001/6707</t>
  </si>
  <si>
    <t>_LIM331_6707_Air Conditioners</t>
  </si>
  <si>
    <t>O0001/IE01533/F0041/X032/R0229/001/6707</t>
  </si>
  <si>
    <t>O0001/IE00121/F0041/X032/R0229/001/6707</t>
  </si>
  <si>
    <t>O0001/IE07235/F0041/X044/R0229/001/6805</t>
  </si>
  <si>
    <t>Motor Vehicle Allowance</t>
  </si>
  <si>
    <t>COUNCIL SERVICES</t>
  </si>
  <si>
    <t>MAYOR</t>
  </si>
  <si>
    <t>O0001/IE07231/F0041/X044/R0229/001/6805</t>
  </si>
  <si>
    <t>Cell phone Allowance</t>
  </si>
  <si>
    <t>O0001/IE07219/F0041/X044/R0229/001/6803</t>
  </si>
  <si>
    <t>O0001/IE00817/F0041/X044/R0229/001/6801</t>
  </si>
  <si>
    <t>O0001/IE07230/F0041/X044/R0229/001/6805</t>
  </si>
  <si>
    <t>O1242-1/IE00782/F0041/X044/R0230/001/6803</t>
  </si>
  <si>
    <t>LIM331_2017/18IDP_Child Programmes</t>
  </si>
  <si>
    <t>O1250-1/IE00782/F0041/X044/R0230/001/6803</t>
  </si>
  <si>
    <t>LIM331_2017/18IDP_Feeding/Nutritional Scheme</t>
  </si>
  <si>
    <t>O0001/IE00063/F0041/X044/R0229/001/6805</t>
  </si>
  <si>
    <t>O0001/IE00063/F0041/X044/R0229/001/6803</t>
  </si>
  <si>
    <t>O0001/IE00063/F0041/X044/R0229/001/6801</t>
  </si>
  <si>
    <t>O0001/IE00062/F0041/X044/R0229/001/6805</t>
  </si>
  <si>
    <t>O0001/IE00062/F0041/X044/R0229/001/6803</t>
  </si>
  <si>
    <t>O0001/IE00062/F0041/X044/R0229/001/6801</t>
  </si>
  <si>
    <t>O0001/IE00061/F0041/X044/R0229/001/6805</t>
  </si>
  <si>
    <t>O0001/IE00061/F0041/X044/R0229/001/6803</t>
  </si>
  <si>
    <t>O0001/IE00061/F0041/X044/R0229/001/6801</t>
  </si>
  <si>
    <t>O0001/IE00060/F0041/X044/R0229/001/6805</t>
  </si>
  <si>
    <t>O0001/IE00060/F0041/X044/R0229/001/6803</t>
  </si>
  <si>
    <t>O0001/IE00060/F0041/X044/R0229/001/6801</t>
  </si>
  <si>
    <t>O0001/IE01581/F0041/X044/R0229/001/6805</t>
  </si>
  <si>
    <t>O0001/IE01581/F0041/X044/R0229/001/6803</t>
  </si>
  <si>
    <t>O0001/IE01581/F0041/X044/R0229/001/6801</t>
  </si>
  <si>
    <t>O0001/IE00144/F0041/X044/R0229/001/6805</t>
  </si>
  <si>
    <t>O0001/IE00144/F0041/X044/R0229/001/6803</t>
  </si>
  <si>
    <t>O0001/IE00144/F0041/X044/R0229/001/6801</t>
  </si>
  <si>
    <t>O0001/IE00143/F0041/X044/R0229/001/6805</t>
  </si>
  <si>
    <t>O0001/IE00143/F0041/X044/R0229/001/6803</t>
  </si>
  <si>
    <t>O0001/IE00143/F0041/X044/R0229/001/6801</t>
  </si>
  <si>
    <t>O0001/IE00592/F0041/X044/R0230/001/6801</t>
  </si>
  <si>
    <t>Seating Allowance for Traditional Leaders</t>
  </si>
  <si>
    <t>O0001/IE00586/F0041/X044/R0230/001/6801</t>
  </si>
  <si>
    <t>Remuneration to Ward Committees</t>
  </si>
  <si>
    <t>O0001/IE00059/F0041/X044/R0229/001/6805</t>
  </si>
  <si>
    <t>O0001/IE00059/F0041/X044/R0229/001/6803</t>
  </si>
  <si>
    <t>O0001/IE00059/F0041/X044/R0229/001/6801</t>
  </si>
  <si>
    <t>O0001/IE00833/F0041/X044/R0229/001/6805</t>
  </si>
  <si>
    <t>Audit Committee</t>
  </si>
  <si>
    <t>O0001/IE00595/F0041/X044/R0229/001/6805</t>
  </si>
  <si>
    <t>O0001/IE00595/F0041/X044/R0229/001/6803</t>
  </si>
  <si>
    <t>O0001/IE00595/F0041/X044/R0229/001/6801</t>
  </si>
  <si>
    <t>O0001/IE00781/F0041/X044/R0230/001/6801</t>
  </si>
  <si>
    <t>O0001/IE00143/F0041/X132/R0229/001/6501</t>
  </si>
  <si>
    <t>O0001/IE00144/F0041/X132/R0229/001/6501</t>
  </si>
  <si>
    <t>O0001/IE01581/F0041/X132/R0229/001/6501</t>
  </si>
  <si>
    <t>O0001/IE00060/F0041/X132/R0229/001/6501</t>
  </si>
  <si>
    <t>O0001/IE00061/F0041/X132/R0229/001/6501</t>
  </si>
  <si>
    <t>O0001/IE00062/F0041/X132/R0229/001/6501</t>
  </si>
  <si>
    <t>O0001/IE00063/F0041/X132/R0229/001/6501</t>
  </si>
  <si>
    <t>O0001/IE00595/F0041/X132/R0229/001/6501</t>
  </si>
  <si>
    <t>O0001/IE00043/F0041/X132/R0229/001/6501</t>
  </si>
  <si>
    <t>O0001/IE00044/F0041/X132/R0229/001/6501</t>
  </si>
  <si>
    <t>O0001/IE00045/F0041/X132/R0229/001/6501</t>
  </si>
  <si>
    <t>O0001/IE03969/F0041/X132/R0229/001/6501</t>
  </si>
  <si>
    <t>O0001/IE01525/F0041/X132/R0229/001/6501</t>
  </si>
  <si>
    <t>O0001/IE01526/F0041/X132/R0229/001/6501</t>
  </si>
  <si>
    <t>O0001/IE01533/F0041/X132/R0229/001/6501</t>
  </si>
  <si>
    <t>O0001/IE01535/F0041/X132/R0229/001/6501</t>
  </si>
  <si>
    <t>O0001/IE00604/F0041/X132/R0229/001/6501</t>
  </si>
  <si>
    <t>O0001/IE01521/F0041/X132/R0229/001/6501</t>
  </si>
  <si>
    <t>O0001/IE00126/F0041/X132/R0229/001/6501</t>
  </si>
  <si>
    <t>O0001/IE00036/F0041/X132/R0229/001/6501</t>
  </si>
  <si>
    <t>O0001/IE00534/F0041/X132/R0230/001/6501</t>
  </si>
  <si>
    <t>O0425-1/IE00651/F2496/X132/R0230/001/6501</t>
  </si>
  <si>
    <t>LIM331_2017/18IDP_Waste disposal site maintenance</t>
  </si>
  <si>
    <t>LIM331_2017/18IDP_Purchase of skip bins</t>
  </si>
  <si>
    <t>D0001/IR00992/F0930/X132/R0021/001/6501</t>
  </si>
  <si>
    <t>Refuse Removal</t>
  </si>
  <si>
    <t>D0001/IR00966/F0047/X132/R0230/001/6501</t>
  </si>
  <si>
    <t>O0001/IE00552/F0041/X132/R0229/001/6501</t>
  </si>
  <si>
    <t>D0001/IR00992/F0930/X132/R0041/001/6501</t>
  </si>
  <si>
    <t>D0001/IR00992/F0930/X132/R0023/001/6501</t>
  </si>
  <si>
    <t>D0001/IR00992/F0930/X132/R0022/001/6501</t>
  </si>
  <si>
    <t>D0001/IR00992/F0930/X132/R0230/001/6501</t>
  </si>
  <si>
    <t>_LIM331-6501_Waste Disposal Feasibility Study</t>
  </si>
  <si>
    <t>Recycling</t>
  </si>
  <si>
    <t>O0001/IE00121/F0041/X132/R0229/001/6501</t>
  </si>
  <si>
    <t>O0001/IE00040/F0041/X132/R0229/001/6501</t>
  </si>
  <si>
    <t>O0001/IE01525/F0041/X051/R0229/001/6103</t>
  </si>
  <si>
    <t>O0001/IE01525/F0041/X053/R0229/001/6104</t>
  </si>
  <si>
    <t>O0001/IE00063/F0041/X062/R0229/001/6104</t>
  </si>
  <si>
    <t>C0003-1/IA06173/F0002/X052/R0229/001/6105</t>
  </si>
  <si>
    <t>C0006-1/IA06282/F0002/X050/R0229/001/6111</t>
  </si>
  <si>
    <t>C0007-1/IA01327/F0002/X050/R0229/001/6111</t>
  </si>
  <si>
    <t>O0001/IE00045/F0041/X051/R0229/001/6121</t>
  </si>
  <si>
    <t>O0001/IE00126/F0041/X051/R0229/001/6121</t>
  </si>
  <si>
    <t>O0001/IE01521/F0041/X051/R0229/001/6121</t>
  </si>
  <si>
    <t>O0001/IE00040/F0041/X051/R0229/001/6121</t>
  </si>
  <si>
    <t>O0001/IE00595/F0041/X051/R0229/001/6121</t>
  </si>
  <si>
    <t>O0001/IE00143/F0041/X051/R0229/001/6121</t>
  </si>
  <si>
    <t>O0001/IE01581/F0041/X051/R0229/001/6121</t>
  </si>
  <si>
    <t>O0001/IE00062/F0041/X051/R0229/001/6121</t>
  </si>
  <si>
    <t>O0001/IE00061/F0041/X051/R0229/001/6121</t>
  </si>
  <si>
    <t>C0006-4/IA06282/F0002/X057/R0229/001/6351</t>
  </si>
  <si>
    <t>O0001/IE03968/F0041/X057/R0229/001/6351</t>
  </si>
  <si>
    <t>C0004-3/IA06233/F0002/X032/R0229/001/6707</t>
  </si>
  <si>
    <t>O0001/IE00782/F0041/X044/R0229/001/6803</t>
  </si>
  <si>
    <t>O0001/IE00783/F0041/X045/R0229/001/6053</t>
  </si>
  <si>
    <t>O0001/IE07074/F0041/X116/R0229/001/6053</t>
  </si>
  <si>
    <t>C0003-2/IA06173/F1182/X099/R0229/001/6055</t>
  </si>
  <si>
    <t>C0004-1/IA06233/F0002/X046/R0229/001/6109</t>
  </si>
  <si>
    <t>O0001/IE00144/F1177/X049/R0229/001/6114</t>
  </si>
  <si>
    <t>O0001/IE01525/F0041/X047/R0229/001/6114</t>
  </si>
  <si>
    <t>O0001/IE00144/F1177/X049/R0229/001/6115</t>
  </si>
  <si>
    <t>O0001/IE01525/F0041/X049/R0229/001/6117</t>
  </si>
  <si>
    <t>O0001/IE00144/F1177/X049/R0229/001/6117</t>
  </si>
  <si>
    <t>O0001/IE01530/F0041/X125/R0229/001/6401</t>
  </si>
  <si>
    <t>O0001/IE01530/F0041/X132/R0229/001/6501</t>
  </si>
  <si>
    <t>O0001/IE01530/F0041/X116/R0229/001/6607</t>
  </si>
  <si>
    <t>ACCOUNT /VOTE</t>
  </si>
  <si>
    <t>Total</t>
  </si>
  <si>
    <t>Project Code</t>
  </si>
  <si>
    <t>Land and Quantity Surveyors</t>
  </si>
  <si>
    <t>Man'ombe Cluster:Ward 14</t>
  </si>
  <si>
    <t>LIM331_0002</t>
  </si>
  <si>
    <t>Formalisation of Makosha Risinga Externsion</t>
  </si>
  <si>
    <t>O1302-2/IE00855/F0041/X101/R0023/001/6155</t>
  </si>
  <si>
    <t>Giyani Township:Ward 13</t>
  </si>
  <si>
    <t>LIM331_0003</t>
  </si>
  <si>
    <t>Review of SDF</t>
  </si>
  <si>
    <t>O1302-3/IE00001/F0041/X101/R0230/001/6155</t>
  </si>
  <si>
    <t>LIM331_0004</t>
  </si>
  <si>
    <t>Alignment of LUS</t>
  </si>
  <si>
    <t>O0025-1/IE00001/F0041/X101/R0230/001/6155</t>
  </si>
  <si>
    <t>LIM331_0005</t>
  </si>
  <si>
    <t>Shamavunga Cluster:Ward 21</t>
  </si>
  <si>
    <t>O1302-4/IE00001/F2496/X101/R0229/001/6155</t>
  </si>
  <si>
    <t>Taxes:Property Rates:Levies</t>
  </si>
  <si>
    <t>LIM331_0006</t>
  </si>
  <si>
    <t>Waste Disposal Site Development</t>
  </si>
  <si>
    <t>C0049-1/IA01952/F0002/X131/R0230/001/6501</t>
  </si>
  <si>
    <t>Solid Waste Disposal (Landfill Sites)</t>
  </si>
  <si>
    <t>C0049-1/IA01952/F0791/X131/R0230/001/6501</t>
  </si>
  <si>
    <t>Shamavunga Cluster:Ward 29</t>
  </si>
  <si>
    <t>LIM331_0008</t>
  </si>
  <si>
    <t>Homu 14B to 14A Upgrading from Gravel to Tar</t>
  </si>
  <si>
    <t>Shamavunga Cluster:Ward 10</t>
  </si>
  <si>
    <t>C0040-2/IA01952/F0791/X116/R0040/001/6601</t>
  </si>
  <si>
    <t>LIM331_0009</t>
  </si>
  <si>
    <t>Makosha Upgrading from Gravel to Paving</t>
  </si>
  <si>
    <t>C0040-3/IA01952/F0791/X116/R0027/001/6601</t>
  </si>
  <si>
    <t>LIM331_0010</t>
  </si>
  <si>
    <t>C0040-4/IA01952/F0791/X116/R0023/001/6601</t>
  </si>
  <si>
    <t>Man'ombe Cluster:Ward 7</t>
  </si>
  <si>
    <t>LIM331_0013</t>
  </si>
  <si>
    <t>C0352-1/IA01952/F0002/X055/R0229/001/6107</t>
  </si>
  <si>
    <t>LIM331_0014</t>
  </si>
  <si>
    <t>Development of Roads &amp; Stormwater Master Plan</t>
  </si>
  <si>
    <t>Engineering:Civil</t>
  </si>
  <si>
    <t>O1439-1/IE00001/F2496/X101/R0230/001/6601</t>
  </si>
  <si>
    <t>LIM331_0015</t>
  </si>
  <si>
    <t>Refurbishment of Giyani Arts &amp; Culture Centre</t>
  </si>
  <si>
    <t>C0271-1/IA01952/F0002/X006/R0230/001/6255</t>
  </si>
  <si>
    <t>LIM331_0016</t>
  </si>
  <si>
    <t>Ndhambi Taxi Rank</t>
  </si>
  <si>
    <t>C0240-1/IA01952/F0002/X117/R0017/001/6603</t>
  </si>
  <si>
    <t>Chamiriri Cluster:Ward 25</t>
  </si>
  <si>
    <t>LIM331_0017</t>
  </si>
  <si>
    <t>Upgrading of Nkhensani Access</t>
  </si>
  <si>
    <t>C0239-1/IA01952/F0002/X116/R0230/001/6601</t>
  </si>
  <si>
    <t>LIM331_0018</t>
  </si>
  <si>
    <t>Giyani Section E Sports Precinct</t>
  </si>
  <si>
    <t>C0336-1/IA01952/F0002/X125/R0230/001/6401</t>
  </si>
  <si>
    <t>LIM331_0019</t>
  </si>
  <si>
    <t>Access Roads to Tribal Offices</t>
  </si>
  <si>
    <t>C0040-7/IA01952/F0002/X116/R0041/001/6601</t>
  </si>
  <si>
    <t>C0040-7/IA01952/F0002/X116/R0044/001/6601</t>
  </si>
  <si>
    <t>C0040-7/IA01952/F0002/X116/R0038/001/6601</t>
  </si>
  <si>
    <t>Nsami Cluster:Ward 18 &amp; 17</t>
  </si>
  <si>
    <t>C0040-7/IA01952/F0002/X116/R0030/001/6601</t>
  </si>
  <si>
    <t>Middle Letaba Cluster:Ward 1</t>
  </si>
  <si>
    <t>C0040-7/IA01952/F0002/X116/R0024/001/6601</t>
  </si>
  <si>
    <t>Man'ombe Cluster:Ward 5</t>
  </si>
  <si>
    <t>C0040-7/IA01952/F0002/X116/R0041/001/6055</t>
  </si>
  <si>
    <t>C0040-7/IA01952/F0002/X116/R0044/001/6055</t>
  </si>
  <si>
    <t>C0040-7/IA01952/F0002/X116/R0038/001/6055</t>
  </si>
  <si>
    <t>C0040-7/IA01952/F0002/X116/R0030/001/6055</t>
  </si>
  <si>
    <t>C0040-7/IA01952/F0002/X116/R0024/001/6055</t>
  </si>
  <si>
    <t>LIM331_0020</t>
  </si>
  <si>
    <t>Mavalani Indoor Sports Centre</t>
  </si>
  <si>
    <t>C0244-1/IA01952/F0002/X125/R0028/001/6401</t>
  </si>
  <si>
    <t>Man'ombe Cluster:Ward 20</t>
  </si>
  <si>
    <t>LIM331_0021</t>
  </si>
  <si>
    <t>Jim-Nghalalume Community Hall</t>
  </si>
  <si>
    <t>C0230-1/IA01952/F0002/X006/R0230/001/6255</t>
  </si>
  <si>
    <t>LIM331_0022</t>
  </si>
  <si>
    <t>N'wadzekudzeku Community Hall</t>
  </si>
  <si>
    <t>LIM331_0023</t>
  </si>
  <si>
    <t>Rehabilitation of Dumping Site</t>
  </si>
  <si>
    <t>O1531-1/IE00080/F2496/X131/R0230/001/6501</t>
  </si>
  <si>
    <t>LIM331_0024</t>
  </si>
  <si>
    <t>Extension of Palisade Fence at Pound Station</t>
  </si>
  <si>
    <t>C0357-1/IA01952/F0002/X003/R0230/001/6273</t>
  </si>
  <si>
    <t>Electrical</t>
  </si>
  <si>
    <t>Transfer from Capital Revenue</t>
  </si>
  <si>
    <t>Ward 18 &amp; 17</t>
  </si>
  <si>
    <t>LIM331_0029</t>
  </si>
  <si>
    <t>Electrification of Vuhehli,Ndindani,Gawula,Nwakhuwani',Mahlathi,Ntshuxi Villages</t>
  </si>
  <si>
    <t>O1369-5/IE00634/F0045/X032/R0038/001/6707</t>
  </si>
  <si>
    <t>O1369-5/IE00634/F0045/X032/R0039/001/6707</t>
  </si>
  <si>
    <t>Ward 19</t>
  </si>
  <si>
    <t>O1369-5/IE00634/F0045/X032/R0032/001/6707</t>
  </si>
  <si>
    <t>Ward 3</t>
  </si>
  <si>
    <t>O1370-5/IE00634/F0045/X032/R0038/001/6707</t>
  </si>
  <si>
    <t>O1370-5/IE00634/F0045/X032/R0039/001/6707</t>
  </si>
  <si>
    <t>O1370-5/IE00634/F0045/X032/R0032/001/6707</t>
  </si>
  <si>
    <t>LIM331_0030</t>
  </si>
  <si>
    <t>LIM331_0031</t>
  </si>
  <si>
    <t>High Mast Lights Energising</t>
  </si>
  <si>
    <t>O1369-7/IE00634/F0041/X032/R0230/001/6707</t>
  </si>
  <si>
    <t>LIM331_0032</t>
  </si>
  <si>
    <t>Giyani Section E Upgrading from Gravel to Tar Phase 2</t>
  </si>
  <si>
    <t>C0040-8/IA01952/F0791/X116/R0021/001/6601</t>
  </si>
  <si>
    <t>Giyani Township:Ward 11</t>
  </si>
  <si>
    <t>LIM331_0033</t>
  </si>
  <si>
    <t>Chamiriri Cluster:Ward 24</t>
  </si>
  <si>
    <t>LIM331_0034</t>
  </si>
  <si>
    <t>Refurbishment of Giyani Stadium &amp; Section A Tennis Court</t>
  </si>
  <si>
    <t>C0336-2/IA01952/F0791/X125/R0022/001/6401</t>
  </si>
  <si>
    <t>Giyani Township:Ward 12</t>
  </si>
  <si>
    <t>LIM331_0035</t>
  </si>
  <si>
    <t>Refurbishment of Sporting Facilities (Gawula)</t>
  </si>
  <si>
    <t>C0336-3/IA01952/F0791/X125/R0038/001/6401</t>
  </si>
  <si>
    <t>C0336-3/IA01952/F0002/X124/R0038/001/6601</t>
  </si>
  <si>
    <t>LIM331_0036</t>
  </si>
  <si>
    <t>Refurbishment of Shivulani Sports Centre</t>
  </si>
  <si>
    <t>C0336-4/IA01952/F0791/X125/R0036/001/6401</t>
  </si>
  <si>
    <t>Nsami Cluster:Ward 15</t>
  </si>
  <si>
    <t>C0336-4/IA01952/F0002/X124/R0036/001/6401</t>
  </si>
  <si>
    <t>LIM331_0037</t>
  </si>
  <si>
    <t>Upgrading of Parking Lot</t>
  </si>
  <si>
    <t>C0357-2/IA01952/F0002/X108/R0022/001/6255</t>
  </si>
  <si>
    <t>LIM331_0038</t>
  </si>
  <si>
    <t>Public Transport Shelters</t>
  </si>
  <si>
    <t>C0038-1/IA01952/F0002/X115/R0230/001/6601</t>
  </si>
  <si>
    <t>LIM331_0039</t>
  </si>
  <si>
    <t>Rehabilitation of Streets in All Sections</t>
  </si>
  <si>
    <t>C0120-1/IA01952/F0002/X116/R0230/001/6601</t>
  </si>
  <si>
    <t>LIM331_0040</t>
  </si>
  <si>
    <t>Upgrading of Traffic Lights &amp; R81 Lighting</t>
  </si>
  <si>
    <t>C0175-2/IA01952/F0002/X034/R0230/001/6707</t>
  </si>
  <si>
    <t>LIM331_0041</t>
  </si>
  <si>
    <t>Section E Sports Centre</t>
  </si>
  <si>
    <t>LIM331_0042</t>
  </si>
  <si>
    <t>UPGRADING OF ROAD D3187 FROM GRAVEL TO TAR</t>
  </si>
  <si>
    <t>C0177-2/IA01952/F0002/X116/R0016/001/6601</t>
  </si>
  <si>
    <t>C0177-2/IA01952/F0002/X116/R0043/001/6601</t>
  </si>
  <si>
    <t>Shamavunga Cluster:Ward 23</t>
  </si>
  <si>
    <t>C0177-2/IA01952/F0002/X116/R0044/001/6601</t>
  </si>
  <si>
    <t>LIM331_0044</t>
  </si>
  <si>
    <t>ALTERNATIVE ROAD TO GIYANI FROM R81</t>
  </si>
  <si>
    <t>C0040-10/IA01952/F0002/X116/R0230/001/6601</t>
  </si>
  <si>
    <t>LIM331_0045</t>
  </si>
  <si>
    <t>Township Establishment Siyandhani</t>
  </si>
  <si>
    <t>O0025-2/IE00001/F0041/X101/R0025/001/6155</t>
  </si>
  <si>
    <t>LIM331_0046</t>
  </si>
  <si>
    <t>Street Naming (Including Registration)</t>
  </si>
  <si>
    <t>O0025-3/IE00001/F0041/X101/R0230/001/6155</t>
  </si>
  <si>
    <t>LIM331_0047</t>
  </si>
  <si>
    <t>Site Demarcation in Villages</t>
  </si>
  <si>
    <t>O0025-4/IE00855/F0041/X101/R0230/001/6155</t>
  </si>
  <si>
    <t>LIM331_0048</t>
  </si>
  <si>
    <t>Formalisation of Church View</t>
  </si>
  <si>
    <t>O0025-5/IE00001/F0041/X101/R0230/001/6155</t>
  </si>
  <si>
    <t>LIM331_0049</t>
  </si>
  <si>
    <t>Proclamation Programme</t>
  </si>
  <si>
    <t>O0025-6/IE00001/F0041/X101/R0230/001/6155</t>
  </si>
  <si>
    <t>LIM331_0050</t>
  </si>
  <si>
    <t>Deeds Registration Of Sites</t>
  </si>
  <si>
    <t>O0025-7/IE00001/F0041/X101/R0230/001/6155</t>
  </si>
  <si>
    <t>LIM331_0051</t>
  </si>
  <si>
    <t>GIS Upgrade</t>
  </si>
  <si>
    <t>O0025-8/IE00853/F0041/X101/R0230/001/6155</t>
  </si>
  <si>
    <t>Geoinformatic Services</t>
  </si>
  <si>
    <t>LIM331_0052</t>
  </si>
  <si>
    <t>Review Of LED Strategy</t>
  </si>
  <si>
    <t>O0001/IE00843/F0041/X096/R0230/001/6151</t>
  </si>
  <si>
    <t>Business and Advisory:Organisational</t>
  </si>
  <si>
    <t>LIM331_0053</t>
  </si>
  <si>
    <t>Rezoning and Subdivision of Parks</t>
  </si>
  <si>
    <t>O0025-9/IE00001/F0041/X101/R0416/001/6155</t>
  </si>
  <si>
    <t>Regional:Regional Identifier:Local Government by Province:Limpopo:District Municipalities:DC33 Mopani:Whole of the District</t>
  </si>
  <si>
    <t>LIM331_0054</t>
  </si>
  <si>
    <t>Public Transport Facilities</t>
  </si>
  <si>
    <t>C0039-3/IA01952/F0002/X115/R0230/001/6601</t>
  </si>
  <si>
    <t>LIM331_0055</t>
  </si>
  <si>
    <t>Xikukwane Gravel To TARR(RAL)(D3804 &amp; D3805)</t>
  </si>
  <si>
    <t>C0177-3/IA01952/F0002/X116/R0027/001/6601</t>
  </si>
  <si>
    <t>LIM331_0056</t>
  </si>
  <si>
    <t>GOLF COURSE DEVELOPMENT</t>
  </si>
  <si>
    <t>C0316-1/IA01952/F0002/X006/R0230/001/6255</t>
  </si>
  <si>
    <t>Description</t>
  </si>
  <si>
    <t>LIM331_P001</t>
  </si>
  <si>
    <t>Youth Support</t>
  </si>
  <si>
    <t>O1444-1/IE00060/F0041/X044/R0230/001/6057</t>
  </si>
  <si>
    <t>LIM331_2017/18IDP_Youth Development</t>
  </si>
  <si>
    <t>O1444-1/IE00571/F0041/X044/R0230/001/6057</t>
  </si>
  <si>
    <t>Hire Charges</t>
  </si>
  <si>
    <t>O1444-1/IE00677/F0041/X044/R0230/001/6057</t>
  </si>
  <si>
    <t>O1444-1/IE00703/F0041/X044/R0230/001/6057</t>
  </si>
  <si>
    <t>Transport Services</t>
  </si>
  <si>
    <t>O1444-1/IE00754/F0041/X044/R0230/001/6057</t>
  </si>
  <si>
    <t>LIM331_P002</t>
  </si>
  <si>
    <t>Gender Support</t>
  </si>
  <si>
    <t>O1252-1/IE00060/F0041/X044/R0230/001/6057</t>
  </si>
  <si>
    <t>LIM331_2017/18IDP_Gender</t>
  </si>
  <si>
    <t>O1252-1/IE00571/F0041/X044/R0230/001/6057</t>
  </si>
  <si>
    <t>LIM331_2017/18IDP_Gender Support</t>
  </si>
  <si>
    <t>O1252-1/IE00677/F0041/X044/R0230/001/6057</t>
  </si>
  <si>
    <t>O1252-1/IE00703/F0041/X044/R0230/001/6057</t>
  </si>
  <si>
    <t>O1252-1/IE00754/F0041/X044/R0230/001/6057</t>
  </si>
  <si>
    <t>LIM331_P003</t>
  </si>
  <si>
    <t>HIV/Candle Lighting</t>
  </si>
  <si>
    <t>O1440-1/IE00060/F0041/X044/R0230/001/6057</t>
  </si>
  <si>
    <t>LIM331_2017/18IDP_Aids/HIV Support</t>
  </si>
  <si>
    <t>O1440-1/IE00571/F0041/X044/R0230/001/6057</t>
  </si>
  <si>
    <t>O1440-1/IE00677/F0041/X044/R0230/001/6057</t>
  </si>
  <si>
    <t>O1440-1/IE00703/F0041/X044/R0230/001/6057</t>
  </si>
  <si>
    <t>O1440-1/IE00754/F0041/X044/R0230/001/6057</t>
  </si>
  <si>
    <t>LIM331_P004</t>
  </si>
  <si>
    <t>Mayor's Tournament</t>
  </si>
  <si>
    <t>O1335-1/IE00060/F0041/X044/R0230/001/6057</t>
  </si>
  <si>
    <t>LIM331_2017/18IDP_Mayors</t>
  </si>
  <si>
    <t>O1335-1/IE00571/F0041/X044/R0230/001/6057</t>
  </si>
  <si>
    <t>LIM331_2017/18IDP_Mayors Tournament</t>
  </si>
  <si>
    <t>O1335-1/IE00677/F0041/X044/R0230/001/6057</t>
  </si>
  <si>
    <t>O1335-1/IE00703/F0041/X044/R0230/001/6057</t>
  </si>
  <si>
    <t>O1335-1/IE00754/F0041/X044/R0230/001/6057</t>
  </si>
  <si>
    <t>LIM331_P005</t>
  </si>
  <si>
    <t>Child &amp; Oldage Support</t>
  </si>
  <si>
    <t>O1242-2/IE00060/F0041/X044/R0230/001/6057</t>
  </si>
  <si>
    <t>LIM331_2017/18IDP_Child</t>
  </si>
  <si>
    <t>O1242-2/IE00571/F0041/X044/R0230/001/6057</t>
  </si>
  <si>
    <t>LIM331_2017/18IDP_Child Support</t>
  </si>
  <si>
    <t>O1242-2/IE00677/F0041/X044/R0230/001/6057</t>
  </si>
  <si>
    <t>O1242-2/IE00754/F0041/X044/R0230/001/6057</t>
  </si>
  <si>
    <t>O1248-1/IE00060/F0041/X044/R0230/001/6057</t>
  </si>
  <si>
    <t>LIM331_2017/18IDP_Elderl</t>
  </si>
  <si>
    <t>O1248-1/IE00571/F0041/X044/R0230/001/6057</t>
  </si>
  <si>
    <t>O1248-1/IE00677/F0041/X044/R0230/001/6057</t>
  </si>
  <si>
    <t>O1248-1/IE00703/F0041/X044/R0230/001/6057</t>
  </si>
  <si>
    <t>O1248-1/IE00754/F0041/X044/R0230/001/6057</t>
  </si>
  <si>
    <t>Gifts and Promotional It</t>
  </si>
  <si>
    <t>LIM331_P006</t>
  </si>
  <si>
    <t>Disability Support</t>
  </si>
  <si>
    <t>O1245-1/IE00060/F0041/X044/R0230/001/6057</t>
  </si>
  <si>
    <t>LIM331_2017/18IDP_Disabi</t>
  </si>
  <si>
    <t>O1245-1/IE00571/F0041/X044/R0230/001/6057</t>
  </si>
  <si>
    <t>O1245-1/IE00677/F0041/X044/R0230/001/6057</t>
  </si>
  <si>
    <t>O1245-1/IE00703/F0041/X044/R0230/001/6057</t>
  </si>
  <si>
    <t>O1245-1/IE00754/F0041/X044/R0230/001/6057</t>
  </si>
  <si>
    <t>LIM331_2017/18IDP_Disability Support</t>
  </si>
  <si>
    <t>LIM331_P007</t>
  </si>
  <si>
    <t>Communication Support</t>
  </si>
  <si>
    <t>O1244-1/IE00772/F0041/X044/R0230/001/6057</t>
  </si>
  <si>
    <t>LIM331_2017/18IDP_Commun</t>
  </si>
  <si>
    <t>LIM331_P008</t>
  </si>
  <si>
    <t>Traditional Authority Support</t>
  </si>
  <si>
    <t>O1293-1/IE00571/F0041/X044/R0230/001/6057</t>
  </si>
  <si>
    <t>LIM331_2017/18IDP_Traditional Authority Support Event</t>
  </si>
  <si>
    <t>O1293-1/IE00675/F0041/X044/R0230/001/6057</t>
  </si>
  <si>
    <t>Burial Services</t>
  </si>
  <si>
    <t>O1293-1/IE00677/F0041/X044/R0230/001/6057</t>
  </si>
  <si>
    <t>O1293-1/IE00703/F0041/X044/R0230/001/6057</t>
  </si>
  <si>
    <t>LIM331_2017/18IDP_Tradit</t>
  </si>
  <si>
    <t>LIM331_P009</t>
  </si>
  <si>
    <t>Event Management</t>
  </si>
  <si>
    <t>O1291-1/IE00060/F0930/X044/R0230/001/6057</t>
  </si>
  <si>
    <t>LIM331_2017/18IDP_Events</t>
  </si>
  <si>
    <t>O1291-1/IE00754/F0930/X044/R0230/001/6057</t>
  </si>
  <si>
    <t>LIM331_2017/18IDP_Events and Organisations</t>
  </si>
  <si>
    <t>O1291-1/IE00571/F0930/X044/R0230/001/6057</t>
  </si>
  <si>
    <t>O1291-1/IE00677/F0930/X044/R0230/001/6057</t>
  </si>
  <si>
    <t>O1291-1/IE00703/F0930/X044/R0230/001/6057</t>
  </si>
  <si>
    <t>LIM331_P010</t>
  </si>
  <si>
    <t>Communications Related</t>
  </si>
  <si>
    <t>O1235-1/IE00060/F0041/X044/R0230/001/6057</t>
  </si>
  <si>
    <t>O1235-1/IE00754/F0041/X044/R0230/001/6057</t>
  </si>
  <si>
    <t>LIM331_2017/18IDP_Communications Related</t>
  </si>
  <si>
    <t>O1235-1/IE00755/F0041/X044/R0230/001/6057</t>
  </si>
  <si>
    <t>Municipal Newsletters</t>
  </si>
  <si>
    <t>O1235-1/IE00571/F0041/X044/R0230/001/6057</t>
  </si>
  <si>
    <t>O1235-1/IE00583/F0041/X044/R0230/001/6057</t>
  </si>
  <si>
    <t>LIM331_P011</t>
  </si>
  <si>
    <t>Excellent Awards</t>
  </si>
  <si>
    <t>O1244-2/IE00754/F0041/X044/R0230/001/6057</t>
  </si>
  <si>
    <t>O1244-2/IE00571/F0041/X044/R0230/001/6057</t>
  </si>
  <si>
    <t>O1244-2/IE00677/F0041/X044/R0230/001/6057</t>
  </si>
  <si>
    <t>O1244-2/IE00703/F0041/X044/R0230/001/6057</t>
  </si>
  <si>
    <t>LIM331_P012</t>
  </si>
  <si>
    <t>Bursaries</t>
  </si>
  <si>
    <t>O1246-2/IE00750/F0041/X044/R0230/001/6057</t>
  </si>
  <si>
    <t>LIM331_2017/18IDP_Bursaries</t>
  </si>
  <si>
    <t>Bursaries (Non-employees)</t>
  </si>
  <si>
    <t>LIM331_P013</t>
  </si>
  <si>
    <t>Public Meetings and Campaings</t>
  </si>
  <si>
    <t>O1240-1/IE00703/F0930/X044/R0230/001/6057</t>
  </si>
  <si>
    <t>LIM331_2017/18IDP_Imbizo</t>
  </si>
  <si>
    <t>O1240-1/IE00677/F0930/X044/R0230/001/6057</t>
  </si>
  <si>
    <t>O1240-1/IE00571/F0930/X044/R0230/001/6057</t>
  </si>
  <si>
    <t>O1240-1/IE00754/F0930/X044/R0230/001/6057</t>
  </si>
  <si>
    <t>O1240-2/IE00571/F0930/X044/R0230/001/6057</t>
  </si>
  <si>
    <t>LIM331_2017/18IDP_Mpac Activities</t>
  </si>
  <si>
    <t>O1240-2/IE00677/F0930/X044/R0230/001/6057</t>
  </si>
  <si>
    <t>O1240-2/IE00703/F0930/X044/R0230/001/6057</t>
  </si>
  <si>
    <t>LIM331_P014</t>
  </si>
  <si>
    <t>Wellness Administration</t>
  </si>
  <si>
    <t>O1256-1/IE00060/F0041/X046/R0229/001/6057</t>
  </si>
  <si>
    <t>LIM331_2017/18IDP_Wellness</t>
  </si>
  <si>
    <t>O1256-1/IE00059/F0041/X046/R0229/001/6057</t>
  </si>
  <si>
    <t>LIM331_2017/18IDP_Wellne</t>
  </si>
  <si>
    <t>O1256-1/IE00754/F0041/X046/R0229/001/6057</t>
  </si>
  <si>
    <t>O1256-1/IE00677/F0041/X046/R0229/001/6057</t>
  </si>
  <si>
    <t>O1256-1/IE00703/F0041/X046/R0229/001/6057</t>
  </si>
  <si>
    <t>LIM331_P015</t>
  </si>
  <si>
    <t>PMS Programme</t>
  </si>
  <si>
    <t>O1350-1/IE00677/F0041/X056/R0229/001/6057</t>
  </si>
  <si>
    <t>LIM331_2017/18IDP_PMS Pr</t>
  </si>
  <si>
    <t>O1350-1/IE00583/F0041/X056/R0229/001/6057</t>
  </si>
  <si>
    <t>LIM331_2017/18IDP_PMS Programme</t>
  </si>
  <si>
    <t>LIM331_P016</t>
  </si>
  <si>
    <t>LED Supports</t>
  </si>
  <si>
    <t>O1304-1/IE00571/F0041/X096/R0230/001/6153</t>
  </si>
  <si>
    <t>O1304-1/IE00677/F0041/X096/R0230/001/6153</t>
  </si>
  <si>
    <t>_LIM331_P016_SMEs Suppor</t>
  </si>
  <si>
    <t>LIM331_P017</t>
  </si>
  <si>
    <t>Indaba</t>
  </si>
  <si>
    <t>O1293-2/IE00060/F0041/X098/R0229/001/6153</t>
  </si>
  <si>
    <t>LIM331_2017/18IDP_Indaba</t>
  </si>
  <si>
    <t>Economic Development/Planning</t>
  </si>
  <si>
    <t>O1293-2/IE00061/F0041/X098/R0229/001/6153</t>
  </si>
  <si>
    <t>O1293-2/IE00063/F0041/X098/R0229/001/6153</t>
  </si>
  <si>
    <t>O1293-2/IE00143/F0041/X098/R0229/001/6153</t>
  </si>
  <si>
    <t>O1293-2/IE00144/F0041/X098/R0229/001/6153</t>
  </si>
  <si>
    <t>O1293-2/IE00571/F0041/X098/R0229/001/6153</t>
  </si>
  <si>
    <t>O1293-2/IE00754/F0041/X098/R0229/001/6153</t>
  </si>
  <si>
    <t>O1293-2/IE01581/F0041/X098/R0229/001/6153</t>
  </si>
  <si>
    <t>LIM331_P018</t>
  </si>
  <si>
    <t>Female Enterpreneur</t>
  </si>
  <si>
    <t>O1249-1/IE00549/F0041/X098/R0230/001/6057</t>
  </si>
  <si>
    <t>LIM331_2017/18IDP_Female Entrepreneur</t>
  </si>
  <si>
    <t>Achievements and Awards</t>
  </si>
  <si>
    <t>O1249-1/IE00677/F0041/X098/R0230/001/6057</t>
  </si>
  <si>
    <t>LIM331_P019</t>
  </si>
  <si>
    <t>IDP Programme</t>
  </si>
  <si>
    <t>O1336-1/IE00060/F0041/X096/R0229/001/6151</t>
  </si>
  <si>
    <t>LIM331_2017/18IDP_IDP Strategic Planning</t>
  </si>
  <si>
    <t>O1336-1/IE00583/F0041/X096/R0229/001/6151</t>
  </si>
  <si>
    <t>O1336-1/IE00677/F0041/X096/R0229/001/6151</t>
  </si>
  <si>
    <t>O1488-1/IE00754/F0041/X096/R0230/001/6151</t>
  </si>
  <si>
    <t>LIM331_2017/18IDP_Land S</t>
  </si>
  <si>
    <t>LIM331_P020</t>
  </si>
  <si>
    <t>Free Basic Electricity</t>
  </si>
  <si>
    <t>O0011-1/IE00573/F0041/X032/R0230/001/6707</t>
  </si>
  <si>
    <t>LIM331_2017/18IDP_Free Basic Electricity</t>
  </si>
  <si>
    <t>Indigent Relief</t>
  </si>
  <si>
    <t>INDIGENT SUPPORT</t>
  </si>
  <si>
    <t>O0011-1/IE00675/F0041/X003/R0230/001/6273</t>
  </si>
  <si>
    <t>LIBRARY OUTREACH'</t>
  </si>
  <si>
    <t>O1255-1/IE00754/F0041/X024/R0230/001/6251</t>
  </si>
  <si>
    <t>LIM331_2017/18IDP_Library Programmes</t>
  </si>
  <si>
    <t>DISASTER RESPONSE &amp; RECOVERY</t>
  </si>
  <si>
    <t>LIM331_2017/18IDP_Disaster Management</t>
  </si>
  <si>
    <t>DISASTER EDUCATION &amp; AWARENESS</t>
  </si>
  <si>
    <t>O1265-2/IE00754/F0041/X019/R0230/001/6353</t>
  </si>
  <si>
    <t>LIM331_2017/18IDP_Disast</t>
  </si>
  <si>
    <t>SPORT, ARTS &amp; CULTURE SUPPORT'</t>
  </si>
  <si>
    <t>O1289-1/IE00811/F0041/X124/R0230/001/6401</t>
  </si>
  <si>
    <t>Events</t>
  </si>
  <si>
    <t>O1289-1/IE00549/F0041/X124/R0230/001/6401</t>
  </si>
  <si>
    <t>O1289-1/IE00572/F0041/X124/R0230/001/6401</t>
  </si>
  <si>
    <t>Honoraria (Voluntarily Workers)</t>
  </si>
  <si>
    <t>INDIGENOUS GAMES</t>
  </si>
  <si>
    <t>O1292-1/IE00811/F0041/X124/R0230/001/6401</t>
  </si>
  <si>
    <t>LIM331_2017/18IDP_INDIGENOUS GAMES</t>
  </si>
  <si>
    <t>O1292-1/IE00677/F0041/X124/R0230/001/6401</t>
  </si>
  <si>
    <t>SPORTS DEVELOPMENT</t>
  </si>
  <si>
    <t>O1334-1/IE00754/F0041/X124/R0230/001/6401</t>
  </si>
  <si>
    <t>LIM331_2017/18IDP_SPORTS DEVELOPMENT</t>
  </si>
  <si>
    <t>HERITAGE DAY CELEBRATION</t>
  </si>
  <si>
    <t>O1293-1/IE00677/F0041/X124/R0230/001/6401</t>
  </si>
  <si>
    <t>ENVIRONMENT AWARENESS (WED)</t>
  </si>
  <si>
    <t>O1274-1/IE00678/F0041/X003/R0230/001/6273</t>
  </si>
  <si>
    <t>LIM331_2017/18IDP_ENVIRONMENT AWARENESS (WED)</t>
  </si>
  <si>
    <t>Cleaning Services</t>
  </si>
  <si>
    <t>O1274-1/IE00754/F0041/X003/R0230/001/6273</t>
  </si>
  <si>
    <t>O1278-1/IE00060/F1169/X116/R0230/001/6601</t>
  </si>
  <si>
    <t>LIM331_2017/18IDP_EPWP SOCIAL</t>
  </si>
  <si>
    <t>O1278-1/IE00059/F1169/X116/R0230/001/6601</t>
  </si>
  <si>
    <t>O1278-1/IE00604/F1169/X116/R0230/001/6601</t>
  </si>
  <si>
    <t>O1278-1/IE00045/F1169/X116/R0230/001/6601</t>
  </si>
  <si>
    <t>O1278-1/IE00036/F1169/X116/R0230/001/6601</t>
  </si>
  <si>
    <t>LIM331_2017/18IDP_EPWP S</t>
  </si>
  <si>
    <t>O1278-1/IE00677/F1169/X116/R0230/001/6601</t>
  </si>
  <si>
    <t>EPWP ENVIRONMENT &amp; CULTURE</t>
  </si>
  <si>
    <t>O1278-1/IE00060/F0041/X132/R0230/001/6501</t>
  </si>
  <si>
    <t>O1278-1/IE00059/F0041/X132/R0230/001/6501</t>
  </si>
  <si>
    <t>O1278-1/IE00045/F0041/X132/R0230/001/6501</t>
  </si>
  <si>
    <t>O1278-1/IE00036/F0041/X132/R0230/001/6501</t>
  </si>
  <si>
    <t>O1278-1/IE00677/F0041/X132/R0230/001/6501</t>
  </si>
  <si>
    <t>Landscaping (Maintenance of Parks)</t>
  </si>
  <si>
    <t>O0017-1/IE00575/F0041/X006/R0230/001/6255</t>
  </si>
  <si>
    <t>_LIM331_PO34_Landscaping</t>
  </si>
  <si>
    <t>Land Alienation Costs</t>
  </si>
  <si>
    <t>GREATER GIYANI MUNICIPALITY</t>
  </si>
  <si>
    <t>SUMMARY EXPENDITURE</t>
  </si>
  <si>
    <t>Vote</t>
  </si>
  <si>
    <t>SUMMARY INCOME</t>
  </si>
  <si>
    <t>GROSS BUDGET</t>
  </si>
  <si>
    <t>GROSS INCOME</t>
  </si>
  <si>
    <t>OPERATING</t>
  </si>
  <si>
    <t>PROGRAMMES</t>
  </si>
  <si>
    <t>PROJECTS</t>
  </si>
  <si>
    <t>SURPLUS (DEFICIT)</t>
  </si>
  <si>
    <t>RISK MANAGEMENT</t>
  </si>
  <si>
    <t>INCOME</t>
  </si>
  <si>
    <t>TOTAL INCOME</t>
  </si>
  <si>
    <t xml:space="preserve"> INCOME</t>
  </si>
  <si>
    <t>Community Assets(Use of caravan park)</t>
  </si>
  <si>
    <t>Prints (Confirmation letters)</t>
  </si>
  <si>
    <t>Administrative Handling Fees (Registration &amp; transfers)</t>
  </si>
  <si>
    <t>Membership(Use of library facility)</t>
  </si>
  <si>
    <t>Community Assets (Hall reservation)</t>
  </si>
  <si>
    <t>Cemetery and Burial( Sale of grave plots)</t>
  </si>
  <si>
    <t>Straight-lined Operating (House rental)</t>
  </si>
  <si>
    <t>Community Assets (Use of sports fields)</t>
  </si>
  <si>
    <t>Consumables(Sale of Refuse Bins)</t>
  </si>
  <si>
    <t>Court Fines (Traffic Fines)</t>
  </si>
  <si>
    <t>Maintenance of Equipment (Speed camera &amp; VTS)</t>
  </si>
  <si>
    <t>Acquisitions (Firearms)</t>
  </si>
  <si>
    <t>Acquisitions (Law enforcement equipment)</t>
  </si>
  <si>
    <t>Acquisitions (Purchase of bins )</t>
  </si>
  <si>
    <t>Materials and Supplies( consumables)</t>
  </si>
  <si>
    <t>Maintenance of Unspecified Assets (waste disposal site)</t>
  </si>
  <si>
    <t>Standard Rated(Animal Feeds)</t>
  </si>
  <si>
    <t>Promotional materials</t>
  </si>
  <si>
    <t>EPWP INFRASTRUCTURE</t>
  </si>
  <si>
    <t>Non Structured (Overtime)</t>
  </si>
  <si>
    <t>Uniform and Protective Clothing (Clothing allowance)</t>
  </si>
  <si>
    <t>Training</t>
  </si>
  <si>
    <t>Donation</t>
  </si>
  <si>
    <t>Entertainment</t>
  </si>
  <si>
    <t>Scarcity (Rural Allowances)</t>
  </si>
  <si>
    <t>Acting Allowances</t>
  </si>
  <si>
    <t>Bank Accounts (Charges)</t>
  </si>
  <si>
    <t>Non Structured(Overtime)</t>
  </si>
  <si>
    <t>Materials and Supplies (Stationery &amp; printing)</t>
  </si>
  <si>
    <t>Acquisitions (Computer equipment)</t>
  </si>
  <si>
    <t>Acting Allowance</t>
  </si>
  <si>
    <t>Standard Rated (Consumables)</t>
  </si>
  <si>
    <t>Computer Equipment (Depreciation)</t>
  </si>
  <si>
    <t>Furniture and Office Equipment (Depreciation)</t>
  </si>
  <si>
    <t>Halls (Depreciation)</t>
  </si>
  <si>
    <t>Machinery and Equipment (Depreciations)</t>
  </si>
  <si>
    <t>Municipal Offices (Depreciations)</t>
  </si>
  <si>
    <t>Transport Assets (Depreciations)</t>
  </si>
  <si>
    <t>Capital Spares (Depreciations)</t>
  </si>
  <si>
    <t>Premiums (Insurance of Assets)</t>
  </si>
  <si>
    <t>Excess Payments(Insurance of Assets)</t>
  </si>
  <si>
    <t>Maintenance of Equipment(camera &amp; walk through maintenance)</t>
  </si>
  <si>
    <t>Acquisitions (Installation of cameras &amp; monitor)</t>
  </si>
  <si>
    <t>Gifts and Promotional Items (Community safety liason)</t>
  </si>
  <si>
    <t>\</t>
  </si>
  <si>
    <t>Property Rates (Doubtful debts)</t>
  </si>
  <si>
    <t>Non Specific Accounts(Doubtful debts)</t>
  </si>
  <si>
    <t>Waste Management(Doubtful debts)</t>
  </si>
  <si>
    <t>Waste Water Management (Doubtful debts)</t>
  </si>
  <si>
    <t>Water (Doubtful debts)</t>
  </si>
  <si>
    <t>Tenders (Advertising)</t>
  </si>
  <si>
    <t>Wet Fuel (Fuel &amp; oil)</t>
  </si>
  <si>
    <t>Acquisitions (Machinery &amp; equipment)</t>
  </si>
  <si>
    <t>Acquisitions (Vehicles)</t>
  </si>
  <si>
    <t>Furniture and Office Equipment (Rental of equipment)</t>
  </si>
  <si>
    <t>Investment Properties (Rental of office space)</t>
  </si>
  <si>
    <t>National (Training)</t>
  </si>
  <si>
    <t>National (Training Seta aligned)</t>
  </si>
  <si>
    <t>Bonuses (Performance bonuses)</t>
  </si>
  <si>
    <t>Staff Recruitment (Advertising)</t>
  </si>
  <si>
    <t>Human Resources (Job evaluations)</t>
  </si>
  <si>
    <t>Development of Human resource strategy</t>
  </si>
  <si>
    <t>Commissions and Committees( Compensation commission)</t>
  </si>
  <si>
    <t>Servicing of fire extinguishers</t>
  </si>
  <si>
    <t>Website redevelopment</t>
  </si>
  <si>
    <t>Diaster Recovery Plan and Site</t>
  </si>
  <si>
    <t>Email Archiving</t>
  </si>
  <si>
    <t>Materials &amp; supplies (Stationery &amp; Printing)</t>
  </si>
  <si>
    <t>Accounting and Auditing (Professional fees)</t>
  </si>
  <si>
    <t>Not structured (Overtime)</t>
  </si>
  <si>
    <t>Maintenance of Cementry</t>
  </si>
  <si>
    <t>Municipal Services(Electricity)</t>
  </si>
  <si>
    <t>Acquisitions (Air conditioners)</t>
  </si>
  <si>
    <t>Professional fees</t>
  </si>
  <si>
    <t>Business Continuity Plan</t>
  </si>
  <si>
    <t>Street naming Giyani BA &amp; Giyani C</t>
  </si>
  <si>
    <t>Valuer and Assessors (Professional fees)</t>
  </si>
  <si>
    <t>Trading (Business Registration)</t>
  </si>
  <si>
    <t>RAND EASTER SHOW</t>
  </si>
  <si>
    <t>AMARULA SHOW</t>
  </si>
  <si>
    <t>Maintenance of Equipment (Office machines)</t>
  </si>
  <si>
    <t>Acquisitions (Furniture &amp; Fittings)</t>
  </si>
  <si>
    <t>Coaching clinics</t>
  </si>
  <si>
    <t>National (Affiliation fee)</t>
  </si>
  <si>
    <t>Radio and TV Transmission</t>
  </si>
  <si>
    <t>National ( Training)</t>
  </si>
  <si>
    <t>CIVIL</t>
  </si>
  <si>
    <t>Acquisitions (Computer Equipment)</t>
  </si>
  <si>
    <t>Automated PMS System</t>
  </si>
  <si>
    <t>Ndambi taxi rank</t>
  </si>
  <si>
    <t>Mavalani indoor sports centre</t>
  </si>
  <si>
    <t>Jim nghalalume community hall</t>
  </si>
  <si>
    <t>Nwadzekudzeku community hall</t>
  </si>
  <si>
    <t>Valuer and Assessors (Profesional fees)</t>
  </si>
  <si>
    <t>Nkomo B to A (D3837) Upgrading from gravel to tarr</t>
  </si>
  <si>
    <t>Interest on Overdue Accounts - Service Charges</t>
  </si>
  <si>
    <t>Interest on Overdue Accounts - Waste Management</t>
  </si>
  <si>
    <t>Interest on Overdue Accounts - Waste Water Management</t>
  </si>
  <si>
    <t>Interest on Overdue Accounts - Water</t>
  </si>
  <si>
    <t>Interest on Overdue Accounts - Property Rates</t>
  </si>
  <si>
    <t>Property Rates - Agricultural Property</t>
  </si>
  <si>
    <t>Property Rates - Business and Commercial</t>
  </si>
  <si>
    <t>Property Rates - Business and Commercial Properties</t>
  </si>
  <si>
    <t>Property Rates - Industrial Properties</t>
  </si>
  <si>
    <t>Property Rates - Public Benefit Organisat</t>
  </si>
  <si>
    <t>Property Rates - Public Benefit Organisations</t>
  </si>
  <si>
    <t>Property Rates - State-owned Properties</t>
  </si>
  <si>
    <t>Property Rates - Residential Developed</t>
  </si>
  <si>
    <t>Professional and Regulatory Bodies(PSIRA registration)</t>
  </si>
  <si>
    <t>Acquisitions (walk through metal detector &amp; exray machine)</t>
  </si>
  <si>
    <t>Acquisitions (Network for new building)</t>
  </si>
  <si>
    <t>IT Master Plan</t>
  </si>
  <si>
    <t>Acquisitions (Help desk system)</t>
  </si>
  <si>
    <t>Acquisitions (tablets &amp; printers)</t>
  </si>
  <si>
    <t>System Adviser (SLA Evolution &amp; Payday)</t>
  </si>
  <si>
    <t>Specialised Computer Services (IT consultants)</t>
  </si>
  <si>
    <t>Software Licences (All systems Annual licence)</t>
  </si>
  <si>
    <t>Business and Financial Management(Mscoa consultants)</t>
  </si>
  <si>
    <t>Business and Financial Management (Mscoa consultants)</t>
  </si>
  <si>
    <t xml:space="preserve"> CIVIL</t>
  </si>
  <si>
    <t>Cash reserves from previous year</t>
  </si>
  <si>
    <t>Rank Loading bay  fee</t>
  </si>
  <si>
    <t>Development cost (By laws)</t>
  </si>
  <si>
    <t>OPERATIONAL PROGRAMMES</t>
  </si>
  <si>
    <t>COUNCIL - OTHER</t>
  </si>
  <si>
    <t>MM &amp; S71 MANAGERS</t>
  </si>
  <si>
    <t>MANAGEMENT - SUPPORT</t>
  </si>
  <si>
    <t>ADMINISTRATION</t>
  </si>
  <si>
    <t>FLEET &amp; MACHINERY</t>
  </si>
  <si>
    <t>BUDGET AND REPORTING</t>
  </si>
  <si>
    <t>PAYROLL</t>
  </si>
  <si>
    <t>LOCAL ECONOMIC DEVELOPMENT</t>
  </si>
  <si>
    <t>COMMUNITY FACILITIES</t>
  </si>
  <si>
    <t>CEMETERIES</t>
  </si>
  <si>
    <t>COMMUNITY - POUNDING</t>
  </si>
  <si>
    <t>SECURITY</t>
  </si>
  <si>
    <t>VEHICLE LISENCING &amp; REG</t>
  </si>
  <si>
    <t>ELECTRICITY</t>
  </si>
  <si>
    <t>O1278-1/IE00036/F0041/X116/R0230/001/6601</t>
  </si>
  <si>
    <t>Shamiriri clusterWard 25</t>
  </si>
  <si>
    <t>Manombe cluster Ward 20</t>
  </si>
  <si>
    <t>Manombe cluster Ward 06</t>
  </si>
  <si>
    <t>Nsami cluster Ward 15</t>
  </si>
  <si>
    <t>Electrification of Mninginisi B3 village</t>
  </si>
  <si>
    <t>O0001/IE00810/F0041/X051/R0229/001/6104</t>
  </si>
  <si>
    <t>Culvert Bridges to cementries (From ward 1 to 31 excluding CBD)</t>
  </si>
  <si>
    <t>O0001/IE00036/F0041/X099/R0229/001/6055</t>
  </si>
  <si>
    <t>O0001/IE01526/F0041/X099/R0229/001/6055</t>
  </si>
  <si>
    <t>O0001/IE00044/F0041/X099/R0229/001/6055</t>
  </si>
  <si>
    <t>O0001/IE00040/F0041/X099/R0229/001/6055</t>
  </si>
  <si>
    <t>O0001/IE00595/F0041/X099/R0229/001/6055</t>
  </si>
  <si>
    <t>O0001/IE00045/F0041/X099/R0229/001/6055</t>
  </si>
  <si>
    <t>O0001/IE01521/F0041/X047/R0229/001/6353</t>
  </si>
  <si>
    <t>O0016-1/IE00059/F0041/X125/R0230/001/6401</t>
  </si>
  <si>
    <t>O1304-2/IE00060/F0041/X098/R0229/001/6153</t>
  </si>
  <si>
    <t>O0001/IE03969/F0041/X081/R0229/001/6059</t>
  </si>
  <si>
    <t>O1557-1/IE00682/F0041/X051/R0229/001/6104</t>
  </si>
  <si>
    <t>O0001/IE01533/F0041/X077/R0229/001/6301</t>
  </si>
  <si>
    <t>C0006-7/IA06282/F0002/X057/R0229/001/6351</t>
  </si>
  <si>
    <t>O0001/IE00754/F0041/X116/R0230/001/6607</t>
  </si>
  <si>
    <t>O0001/IE00835/F0041/X116/R0230/001/6607</t>
  </si>
  <si>
    <t>LIM331_0070</t>
  </si>
  <si>
    <t>LIM331_0071</t>
  </si>
  <si>
    <t>LIM331_0072</t>
  </si>
  <si>
    <t>LIM331_0073</t>
  </si>
  <si>
    <t>O1369-11/IE00634/F13530/X032/R0029/001/6707</t>
  </si>
  <si>
    <t>O1369-12/IE00634/F13530/X032/R0035/001/6707</t>
  </si>
  <si>
    <t>LIM331_0074</t>
  </si>
  <si>
    <t>LIM331_0075</t>
  </si>
  <si>
    <t>LIM331_0077</t>
  </si>
  <si>
    <t>LIM331_0079</t>
  </si>
  <si>
    <t>O1369-14/IE00634/F13530/X032/R0038/001/6707</t>
  </si>
  <si>
    <t>O1369-6/IE00634/F13530/X032/R0025/001/6707</t>
  </si>
  <si>
    <t>O1369-17/IE00634/F13530/X032/R0040/001/6707</t>
  </si>
  <si>
    <t>LIM331_0069</t>
  </si>
  <si>
    <t>LIM331_0057</t>
  </si>
  <si>
    <t>LIM331_0058</t>
  </si>
  <si>
    <t>LIM331_0059</t>
  </si>
  <si>
    <t>LIM331_0060</t>
  </si>
  <si>
    <t>LIM331_6105</t>
  </si>
  <si>
    <t>LIM331_0062</t>
  </si>
  <si>
    <t>LIM331_0063</t>
  </si>
  <si>
    <t>LIM331_0064</t>
  </si>
  <si>
    <t>LIM331_0065</t>
  </si>
  <si>
    <t>LIM331_0066</t>
  </si>
  <si>
    <t>LIM331_0067</t>
  </si>
  <si>
    <t>LIM331_0068</t>
  </si>
  <si>
    <t>LIM331_0081</t>
  </si>
  <si>
    <t>LIM331_0082</t>
  </si>
  <si>
    <t>O0025-10/IE00001/F0041/X101/R0022/001/6155</t>
  </si>
  <si>
    <t>O0025-11/IE00001/F0041/X101/R0230/001/6155</t>
  </si>
  <si>
    <t>O0025-12/IE00001/F0041/X101/R0230/001/6155</t>
  </si>
  <si>
    <t>O0029-1/IE00795/F0041/X052/R0230/001/6105</t>
  </si>
  <si>
    <t>O1346-1/IE00847/F0041/X052/R0229/001/6105</t>
  </si>
  <si>
    <t>O1264-1/IE00793/F0041/X052/R0230/001/6105</t>
  </si>
  <si>
    <t>O1436-3/IE00598/F0041/X052/R0229/001/6105</t>
  </si>
  <si>
    <t>O0001/IE00843/F0041/X046/R0229/001/6109</t>
  </si>
  <si>
    <t>O1300-1/IE00840/F0041/X051/R0229/001/6103</t>
  </si>
  <si>
    <t>C0039-4/IA01952/F0002/X116/R0230/001/6601</t>
  </si>
  <si>
    <t>D0001/LN00008/F0001/X049/R0229/001/6115</t>
  </si>
  <si>
    <t>O0001/IE00043/F0041/X079/R0229/001/6273</t>
  </si>
  <si>
    <t>O0001/IE01525/F0041/X053/R0229/001/6057</t>
  </si>
  <si>
    <t>O0001/IE01525/F1182/X099/R0229/001/6107</t>
  </si>
  <si>
    <t>Sale of sites</t>
  </si>
  <si>
    <t>TOTALS</t>
  </si>
  <si>
    <t>skills</t>
  </si>
  <si>
    <t>salaries &amp;uif epwp</t>
  </si>
  <si>
    <t>employee cost as per Cschedule</t>
  </si>
  <si>
    <t>Interest on Overdue Accounts - Property Rental</t>
  </si>
  <si>
    <t>D0001/IR01012/F0042/X049/R0230/001/6115</t>
  </si>
  <si>
    <t>Ilegal Connections</t>
  </si>
  <si>
    <t>Application Fees for Land</t>
  </si>
  <si>
    <t>Civic Centre Building Phase 3</t>
  </si>
  <si>
    <t xml:space="preserve">Transport </t>
  </si>
  <si>
    <t>Toll gates</t>
  </si>
  <si>
    <t>Preparation fee</t>
  </si>
  <si>
    <t>Sitting Allowance</t>
  </si>
  <si>
    <t>Overtime</t>
  </si>
  <si>
    <t>Subsistence &amp; Travel</t>
  </si>
  <si>
    <t>MPAC</t>
  </si>
  <si>
    <t>Advertising</t>
  </si>
  <si>
    <t>Accommodations</t>
  </si>
  <si>
    <t>Refferee payments</t>
  </si>
  <si>
    <t>Advertisement &amp; branding materials</t>
  </si>
  <si>
    <t>Municipal internal Sinage</t>
  </si>
  <si>
    <t>Electrification of Nkuri Zamani village (200 units /stands)</t>
  </si>
  <si>
    <t>Electrification of Thomo village (500 units /stands)</t>
  </si>
  <si>
    <t>Electrification of Mavusa village (100 units /stands)</t>
  </si>
  <si>
    <t>Electrification of Mapatha village (200 units /stands)</t>
  </si>
  <si>
    <t>Electrification of Mphagani village (200 units /stands)</t>
  </si>
  <si>
    <t>Installation of energy saving street lights</t>
  </si>
  <si>
    <t>Electrification of Dzingidzingi village ph3 (200 units /stands)</t>
  </si>
  <si>
    <t>Electrification of Section F (539 units /stands)</t>
  </si>
  <si>
    <t>Giyani section E Upgrading from gravel to paving (Voningani)</t>
  </si>
  <si>
    <t>Blinkwater upgrading of internal streets</t>
  </si>
  <si>
    <t>Thomo upgrading of internal streets</t>
  </si>
  <si>
    <t>Nkuri Zamani upgrading of internal streets</t>
  </si>
  <si>
    <t>Township Establishment Nsavulani village</t>
  </si>
  <si>
    <t>Automated Audit System</t>
  </si>
  <si>
    <t>Achievements and Awards (Women)</t>
  </si>
  <si>
    <t>Achievements and Awards (Youth)</t>
  </si>
  <si>
    <t>Achievements and Awards (Disabled)</t>
  </si>
  <si>
    <t>Stalls</t>
  </si>
  <si>
    <t>VIP Table</t>
  </si>
  <si>
    <t>African Travel Indaba</t>
  </si>
  <si>
    <t>Promotional Materials</t>
  </si>
  <si>
    <t>Air transport</t>
  </si>
  <si>
    <t xml:space="preserve"> Overtime</t>
  </si>
  <si>
    <t xml:space="preserve"> Subsistence and Travel</t>
  </si>
  <si>
    <t xml:space="preserve"> Training</t>
  </si>
  <si>
    <t xml:space="preserve">Installation of Traffic lights in Giyani township </t>
  </si>
  <si>
    <t>Descriptions</t>
  </si>
  <si>
    <t>Mayor's Tournament(Change name)</t>
  </si>
  <si>
    <t>Subdivision &amp; Rezoning of remainder 1946 Giyani F</t>
  </si>
  <si>
    <t xml:space="preserve">EPWP SOCIAL </t>
  </si>
  <si>
    <t>Homu14B Sports centre</t>
  </si>
  <si>
    <t>Nwadzekudzeku Community Hall</t>
  </si>
  <si>
    <t>Blinkwater Upgrading of internal streets</t>
  </si>
  <si>
    <t>Thomo Upgrading of internal streets</t>
  </si>
  <si>
    <t>Nkuri Zamani Upgrading of internal streets</t>
  </si>
  <si>
    <t>Shimange Upgrading from gravel to paving</t>
  </si>
  <si>
    <t>Municipal Disaster Relief Grant</t>
  </si>
  <si>
    <t>Civic Centre Building Phase 4</t>
  </si>
  <si>
    <t>Professional fees (Eskom meter reading project)</t>
  </si>
  <si>
    <t>Section E Upgrading from gravel to paving (Voningani)</t>
  </si>
  <si>
    <t>Subdivision, Rezoning &amp; Registration of municipal properties within villages &amp; Town</t>
  </si>
  <si>
    <t>By law enforcement</t>
  </si>
  <si>
    <t>Purchase &amp; installation of 31 water tanks</t>
  </si>
  <si>
    <t xml:space="preserve">Hire of 2 water tankers </t>
  </si>
  <si>
    <t xml:space="preserve">Purchase of 2 water tankers </t>
  </si>
  <si>
    <t>Sanitisation of taxi ranks</t>
  </si>
  <si>
    <t>GGM branded face masks for ward Cllrs &amp; ward committee members</t>
  </si>
  <si>
    <t>Street naming Giyani section A &amp; F</t>
  </si>
  <si>
    <t>Disaster Recovery Plan</t>
  </si>
  <si>
    <t>Servicing of 539 sites</t>
  </si>
  <si>
    <t>Sanitation of municipal public facilities</t>
  </si>
  <si>
    <t>LIM331_0083</t>
  </si>
  <si>
    <t>LIM331_0084</t>
  </si>
  <si>
    <t>LIM331_0085</t>
  </si>
  <si>
    <t>LIM331_0086</t>
  </si>
  <si>
    <t>LIM331_0087</t>
  </si>
  <si>
    <t>LIM331_0088</t>
  </si>
  <si>
    <t>O1369-24/IE00634/F0041/X032/R0031/001/6707</t>
  </si>
  <si>
    <t>O1369-20/IE00634/F13530/X032/R0024/001/6707</t>
  </si>
  <si>
    <t>O1369-21/IE00634/F13530/X032/R0024/001/6707</t>
  </si>
  <si>
    <t>O1369-23/IE00634/F13530/X032/R0030/001/6707</t>
  </si>
  <si>
    <t>O1369-24/IE00634/F13530/X032/R0031/001/6707</t>
  </si>
  <si>
    <t>LIM331_0089</t>
  </si>
  <si>
    <t>LIM331_0090</t>
  </si>
  <si>
    <t>LIM331_0091</t>
  </si>
  <si>
    <t>LIM331_0092</t>
  </si>
  <si>
    <t>LIM331_0093</t>
  </si>
  <si>
    <t>LIM331_0094</t>
  </si>
  <si>
    <t>O1369-28/IE00634/F13530/X032/R0028/001/6707</t>
  </si>
  <si>
    <t>O1369-29/IE00634/F13530/X032/R0018/001/6707</t>
  </si>
  <si>
    <t>O1369-30/IE00634/F13530/X032/R0020/001/6707</t>
  </si>
  <si>
    <t>O1369-31/IE00634/F13530/X032/R0041/001/6707</t>
  </si>
  <si>
    <t>LIM331_0095</t>
  </si>
  <si>
    <t>O1369-32/IE00634/F13530/X032/R0035/001/6707</t>
  </si>
  <si>
    <t>LIM331_0096</t>
  </si>
  <si>
    <t>LIM331_0097</t>
  </si>
  <si>
    <t>LIM331_0098</t>
  </si>
  <si>
    <t>LIM331_0099</t>
  </si>
  <si>
    <t>LIM331_0100</t>
  </si>
  <si>
    <t>LIM331_0101</t>
  </si>
  <si>
    <t>LIM331_0102</t>
  </si>
  <si>
    <t>LIM331_0103</t>
  </si>
  <si>
    <t>LIM331_0104</t>
  </si>
  <si>
    <t>LIM331_0106</t>
  </si>
  <si>
    <t>O1335-1/IE00572/F0041/X044/R0230/001/6057</t>
  </si>
  <si>
    <t>O1293-1/IE00754/F0041/X044/R0230/001/6057</t>
  </si>
  <si>
    <t>O1235-1/IE00751/F0041/X044/R0230/001/6057</t>
  </si>
  <si>
    <t>LIM331_P038</t>
  </si>
  <si>
    <t>O0001/IE00677/F0041/X056/R0229/001/6057</t>
  </si>
  <si>
    <t>O0001/IE00571/F0041/X056/R0229/001/6057</t>
  </si>
  <si>
    <t>O0001/IE00751/F0041/X056/R0229/001/6057</t>
  </si>
  <si>
    <t>O0001/IE01583/F0041/X056/R0229/001/6057</t>
  </si>
  <si>
    <t>O0001/IE00060/F0041/X056/R0230/001/6057</t>
  </si>
  <si>
    <t>O0001/IE00062/F0041/X056/R0230/001/6057</t>
  </si>
  <si>
    <t>Food and Beverage</t>
  </si>
  <si>
    <t>O1278-1/IE00060/F0041/X116/R0230/001/6601</t>
  </si>
  <si>
    <t>O1278-1/IE00059/F0041/X116/R0230/001/6601</t>
  </si>
  <si>
    <t>O1278-1/IE00604/F0041/X116/R0230/001/6601</t>
  </si>
  <si>
    <t>O1278-1/IE00045/F0041/X116/R0229/001/6601</t>
  </si>
  <si>
    <t>O1278-1/IE00677/F0041/X116/R0229/001/6601</t>
  </si>
  <si>
    <t>O1278-1/IE03969/F1169/X116/R0229/001/6601</t>
  </si>
  <si>
    <t>O1278-1/IE03969/F0041/X116/R0230/001/6601</t>
  </si>
  <si>
    <t>O1278-1/IE00061/F1169/X116/R0229/001/6601</t>
  </si>
  <si>
    <t>O1278-1/IE00061/F0041/X116/R0229/001/6601</t>
  </si>
  <si>
    <t>O1278-1/IE03969/F0041/X132/R0229/001/6501</t>
  </si>
  <si>
    <t>O1278-1/IE00061/F0041/X132/R0229/001/6501</t>
  </si>
  <si>
    <t>O1304-3/IE00751/F0041/X098/R0229/001/6153</t>
  </si>
  <si>
    <t>O1304-2/IE00751/F0041/X098/R0229/001/6153</t>
  </si>
  <si>
    <t>LIM331_P037</t>
  </si>
  <si>
    <t>O0001/IE00594/F0041/X006/R0230/001/6273</t>
  </si>
  <si>
    <t>O0001/IE06226/F0041/X116/R0229/001/6053</t>
  </si>
  <si>
    <t>O0001/IE00061/F0041/X099/R0229/001/6055</t>
  </si>
  <si>
    <t>O0001/IE00063/F0041/X099/R0229/001/6055</t>
  </si>
  <si>
    <t>O0001/IE00534/F0041/X099/R0229/001/6055</t>
  </si>
  <si>
    <t>D0001/IR01423/F0045/X055/R0230/001/6107</t>
  </si>
  <si>
    <t>O0001/IE01530/F0041/X053/R0229/001/6108</t>
  </si>
  <si>
    <t>D0001/IR02321/F15762/X006/R0230/001/6115</t>
  </si>
  <si>
    <t>O0001/IE00036/F0041/X049/R0229/001/6119</t>
  </si>
  <si>
    <t>O0001/IE00036/F1177/X049/R0229/001/6119</t>
  </si>
  <si>
    <t>O0001/IE01525/F0041/X049/R0229/001/6119</t>
  </si>
  <si>
    <t>O0001/IE03969/F0041/X049/R0229/001/6119</t>
  </si>
  <si>
    <t>O0001/IE03969/F1177/X049/R0229/001/6119</t>
  </si>
  <si>
    <t>O0001/IE01526/F0041/X049/R0229/001/6119</t>
  </si>
  <si>
    <t>O0001/IE00044/F0041/X049/R0229/001/6119</t>
  </si>
  <si>
    <t>O0001/IE00043/F0041/X049/R0229/001/6119</t>
  </si>
  <si>
    <t>O0001/IE00126/F0041/X049/R0229/001/6119</t>
  </si>
  <si>
    <t>O0001/IE00121/F0041/X049/R0229/001/6119</t>
  </si>
  <si>
    <t>O0001/IE01521/F0041/X049/R0229/001/6119</t>
  </si>
  <si>
    <t>O0001/IE00040/F0041/X049/R0229/001/6119</t>
  </si>
  <si>
    <t>O0001/IE01533/F0041/X049/R0229/001/6119</t>
  </si>
  <si>
    <t>O0001/IE00045/F0041/X049/R0229/001/6119</t>
  </si>
  <si>
    <t>O0001/IE00045/F1177/X049/R0229/001/6119</t>
  </si>
  <si>
    <t>O0001/IE01530/F1177/X049/R0229/001/6119</t>
  </si>
  <si>
    <t>O0001/IE00595/F1177/X049/R0229/001/6119</t>
  </si>
  <si>
    <t>O0001/IE00595/F0041/X049/R0229/001/6119</t>
  </si>
  <si>
    <t>O0001/IE00567/F0041/X049/R0229/001/6119</t>
  </si>
  <si>
    <t>O0001/IE00061/F0041/X049/R0229/001/6119</t>
  </si>
  <si>
    <t>O0001/IE00061/F1177/X049/R0229/001/6119</t>
  </si>
  <si>
    <t>O0001/IE00063/F0041/X049/R0229/001/6119</t>
  </si>
  <si>
    <t>O0001/IE00063/F1177/X049/R0229/001/6119</t>
  </si>
  <si>
    <t>O0001/IE00144/F0041/X049/R0229/001/6119</t>
  </si>
  <si>
    <t>O0001/IE00144/F1177/X049/R0229/001/6119</t>
  </si>
  <si>
    <t>O0001/IE00830/F0041/X049/R0229/001/6119</t>
  </si>
  <si>
    <t>O0001/IE00830/F1177/X049/R0229/001/6119</t>
  </si>
  <si>
    <t>O0001/IE00060/F0041/X049/R0229/001/6119</t>
  </si>
  <si>
    <t>O0001/IE00060/F1177/X049/R0229/001/6119</t>
  </si>
  <si>
    <t>O0001/IE01581/F0041/X049/R0229/001/6119</t>
  </si>
  <si>
    <t>O0001/IE01581/F1177/X049/R0229/001/6119</t>
  </si>
  <si>
    <t>O0001/IE00062/F0041/X049/R0229/001/6119</t>
  </si>
  <si>
    <t>O0001/IE00062/F1177/X049/R0229/001/6119</t>
  </si>
  <si>
    <t>O0001/IE00143/F0041/X049/R0229/001/6119</t>
  </si>
  <si>
    <t>O0001/IE00143/F1177/X049/R0229/001/6119</t>
  </si>
  <si>
    <t>D0001/IL01674/F0001/X049/R0230/001/6119</t>
  </si>
  <si>
    <t>O0001/IE00043/F0041/X115/R0229/001/6603</t>
  </si>
  <si>
    <t>O0025-15/IE00001/F0041/X055/R0230/001/6107</t>
  </si>
  <si>
    <t>LIM331_0107</t>
  </si>
  <si>
    <t>O0025-14/IE00001/F0041/X055/R0043/001/6107</t>
  </si>
  <si>
    <t>LIM331_0108</t>
  </si>
  <si>
    <t>O0001/IE00843/F0041/X052/R0229/001/6105</t>
  </si>
  <si>
    <t>LIM331_0109</t>
  </si>
  <si>
    <t>LIM331_0110</t>
  </si>
  <si>
    <t>LIM331_0111</t>
  </si>
  <si>
    <t>C0230-2/IA01952/F0041/X006/R0230/001/6255</t>
  </si>
  <si>
    <t>LIM331_0112</t>
  </si>
  <si>
    <t>C0de</t>
  </si>
  <si>
    <t>LIM331_P022</t>
  </si>
  <si>
    <t>LIM331_P023</t>
  </si>
  <si>
    <t>LIM331_P024</t>
  </si>
  <si>
    <t>LIM331_P025</t>
  </si>
  <si>
    <t>LIM331_P026</t>
  </si>
  <si>
    <t>LIM331_P027</t>
  </si>
  <si>
    <t>LIM331_P028</t>
  </si>
  <si>
    <t>LIM331_P029</t>
  </si>
  <si>
    <t>LIM331_P030</t>
  </si>
  <si>
    <t>LIM331_P031</t>
  </si>
  <si>
    <t>LIM331_P032</t>
  </si>
  <si>
    <t>LIM331_P034</t>
  </si>
  <si>
    <t>LIM331_P035</t>
  </si>
  <si>
    <t>LIM331_P036</t>
  </si>
  <si>
    <t>T0tal</t>
  </si>
  <si>
    <t>O1264-6/IE00571/F15762/X019/R0230/001/6353</t>
  </si>
  <si>
    <t>O0001/IE00571/F0041/X119/R0230/001/6607</t>
  </si>
  <si>
    <t>C0006-3/IA06282/F0002/X132/R0230/001/6501</t>
  </si>
  <si>
    <t>C0240-1/IA01952/F0791/X117/R0017/001/6603</t>
  </si>
  <si>
    <t>C0244-1/IA01952/F0791/X125/R0028/001/6401</t>
  </si>
  <si>
    <t>C0230-1/IA01952/F0791/X006/R0230/001/6255</t>
  </si>
  <si>
    <t>C0230-2/IA01952/F0791/X006/R0230/001/6255</t>
  </si>
  <si>
    <t>C0089-1/IA05029/F0002/X053/R0230/001/6108</t>
  </si>
  <si>
    <t>O1369-22/IE00634/F0041/X032/R0030/001/6707</t>
  </si>
  <si>
    <t>O1369-26/IE00634/F0041/X032/R0032/001/6707</t>
  </si>
  <si>
    <t>O1369-34/IE00634/F0041/X032/R0023/001/6707</t>
  </si>
  <si>
    <t>O1369-35/IE00634/F0041/X032/R0230/001/6707</t>
  </si>
  <si>
    <t>O1369-36/IE00670/F0041/X034/R0230/001/6707</t>
  </si>
  <si>
    <t>O1369-37/IE00670/F0041/X034/R0230/001/6707</t>
  </si>
  <si>
    <t>C0040-15/IA01952/F0791/X116/R0023/001/6601</t>
  </si>
  <si>
    <t>C0040-16/IA01952/F0791/X116/R0030/001/6601</t>
  </si>
  <si>
    <t>C0040-17/IA01952/F0791/X116/R0038/001/6601</t>
  </si>
  <si>
    <t>C0040-18/IA01952/F0791/X116/R0029/001/6601</t>
  </si>
  <si>
    <t>O1369-13/IE00634/F0041/X032/R0038/001/6707</t>
  </si>
  <si>
    <t>O1369-10/IE00634/F0041/X032/R0230/001/6707</t>
  </si>
  <si>
    <t>O1278-1/IE00036/F1169/X116/R0229/001/6601</t>
  </si>
  <si>
    <t>O2392-1/IE00651/F0933/X116/R0230/001/6601</t>
  </si>
  <si>
    <t>O2774-1/IE00649/F2496/X055/R0229/001/6107</t>
  </si>
  <si>
    <t>Giyani Section F Streets Phase 4</t>
  </si>
  <si>
    <t>2020/2021 APPROVED ORIGINAL BUDGET</t>
  </si>
  <si>
    <t>O0001/IE00040/F1177/X049/R0229/001/6119</t>
  </si>
  <si>
    <t>shiviti</t>
  </si>
  <si>
    <t>sithole kv</t>
  </si>
  <si>
    <t>mhangwana d</t>
  </si>
  <si>
    <t>mm</t>
  </si>
  <si>
    <t>roads</t>
  </si>
  <si>
    <t>C0040-13/IA01952/F0002/X116/R0230/001/6601</t>
  </si>
  <si>
    <t>C0245-1/IA01952/F0002/X125/R0016/001/6401</t>
  </si>
  <si>
    <t>Housing benefits</t>
  </si>
  <si>
    <t>O0001/IE01521/F0041/X049/R0229/001/6117</t>
  </si>
  <si>
    <t>D0001/IR01528/F0044/X119/R0229/001/6607</t>
  </si>
  <si>
    <t>Operators and Public Drivers Permits</t>
  </si>
  <si>
    <t>Application Fees for Land Usage</t>
  </si>
  <si>
    <t>D0001/IR01481/F2496/X049/R0230/001/6115</t>
  </si>
  <si>
    <t>D0001/IR01428/F0047/X101/R0230/001/6155</t>
  </si>
  <si>
    <t>Town Expansion (Ngove Village)</t>
  </si>
  <si>
    <t>Electrification of Shimange village (170 units /stands)</t>
  </si>
  <si>
    <t>Electrification of Jim ngalalume village (335 units /stands)</t>
  </si>
  <si>
    <t>Electrification of Mapuve village (400 units /stands)</t>
  </si>
  <si>
    <t>Electrification of Noblehook village (230 units /stands)</t>
  </si>
  <si>
    <t>Electrification of Mashavela village (140 units /stands)</t>
  </si>
  <si>
    <t xml:space="preserve">GROSS EXPENDITURE </t>
  </si>
  <si>
    <t>O0001/IE00816/F0041/X044/R0229/001/6801</t>
  </si>
  <si>
    <t>O0001/IE07218/F0041/X044/R0229/001/6803</t>
  </si>
  <si>
    <t>O0001/IE07223/F0041/X044/R0229/001/6803</t>
  </si>
  <si>
    <t>O0001/IE00820/F0041/X044/R0229/001/6801</t>
  </si>
  <si>
    <t>D0001/IR006863/F13530/X049/R0230/001/6115</t>
  </si>
  <si>
    <t>D0001/IR01429/F2496/X055/R0230/001/6107</t>
  </si>
  <si>
    <t>C0040-14/IA01952/F0002/X116/R0021/001/6601</t>
  </si>
  <si>
    <t>C0040-16/IA01952/F0002/X116/R0030/001/6601</t>
  </si>
  <si>
    <t>C0040-17/IA01952/F0002/X116/R0038/001/6601</t>
  </si>
  <si>
    <t>C0040-18/IA01952/F0002/X116/R0029/001/6601</t>
  </si>
  <si>
    <t>C0040-20/IA01952/F0002/X116/R0035/001/6601</t>
  </si>
  <si>
    <t>C0040-21/IA01952/F0002/X101/R0230/001/6155</t>
  </si>
  <si>
    <t>C0245-5/IA01952/F0002/X125/R0026/001/6401</t>
  </si>
  <si>
    <t>O1303-1/IE03816-1/F0045/X098/R0230/001/6153</t>
  </si>
  <si>
    <t>O1264-8/IE00534/F0041/X019/R0230/001/6353</t>
  </si>
  <si>
    <t>C0006-8/IA06282/F0002/X019/R0230/001/6353</t>
  </si>
  <si>
    <t>O1264-8/IE00705/F15762/X019/R0230/001/6353</t>
  </si>
  <si>
    <t>C0006-9/IA06282/F0002/X019/R0230/001/6353</t>
  </si>
  <si>
    <t>O1265-4/IE00678/F0041/X019/R0230/001/6353</t>
  </si>
  <si>
    <t>O1264-8/IE00678/F0041/X019/R0230/001/6353</t>
  </si>
  <si>
    <t>O1264-8/IE00754/F0041/X019/R0229/001/6353</t>
  </si>
  <si>
    <t>O0001/IE01533/F0041/X051/R0229/001/6121</t>
  </si>
  <si>
    <t>O0001/IE01533/F0041/X079/R0229/001/6301</t>
  </si>
  <si>
    <t>O0001/IE00121/F0041/X079/R0229/001/6301</t>
  </si>
  <si>
    <t>O0001/IE01525/F0041/X119/R0229/001/6607</t>
  </si>
  <si>
    <t>O0001/IE00844/F0041/X032/R0230/001/6707</t>
  </si>
  <si>
    <t>O2385-2/IE00651/F0041/X032/R0229/001/6707</t>
  </si>
  <si>
    <t>2020/2021 APPROVED ADJUSTMENT BUDGET</t>
  </si>
  <si>
    <t>Electrification of Ngove village ( 200 units / stands)</t>
  </si>
  <si>
    <t>Electrification of Zava village (200 units /stands)</t>
  </si>
  <si>
    <t>Electrification of Botshabelo village ph3 (150 units /stands)</t>
  </si>
  <si>
    <t>Electrification of N'wadzekudzeku village ph3 (150 units /stands)</t>
  </si>
  <si>
    <t>Electrification of Nsavulani village (150 units /stands)</t>
  </si>
  <si>
    <t>Electrification of Makhuva village (150 units /stands)</t>
  </si>
  <si>
    <t>INEP</t>
  </si>
  <si>
    <t>Mageva Sports centre (Extension of soccer pitch)</t>
  </si>
  <si>
    <t>O0001/IE01530/F0041/X006/R0229/001/6251</t>
  </si>
  <si>
    <t>Long Services Awards</t>
  </si>
  <si>
    <t xml:space="preserve">Skills Development Fund </t>
  </si>
  <si>
    <t>Long  Service Awards</t>
  </si>
  <si>
    <t>Disaster Recovery Plan and Site</t>
  </si>
  <si>
    <t>PMU</t>
  </si>
  <si>
    <t>FLEET MANAGEMENT</t>
  </si>
  <si>
    <t>BUDGET TREASURY OFFICE</t>
  </si>
  <si>
    <t>TOWN PLANNING</t>
  </si>
  <si>
    <t>LIBRARY SERVICES</t>
  </si>
  <si>
    <t>VEHICLE &amp; LICENSING</t>
  </si>
  <si>
    <t>ROADS OPERATIONS (SPORTS)</t>
  </si>
  <si>
    <t>DISASTER MANAGEMENT</t>
  </si>
  <si>
    <t>COMMUNITY OTHER</t>
  </si>
  <si>
    <t>CEMETERY</t>
  </si>
  <si>
    <t xml:space="preserve">SUPPLY CHAIN MANAGEMENT </t>
  </si>
  <si>
    <t>Traffic pounding of vehicles</t>
  </si>
  <si>
    <t>Erection of Tombstones @ Giyani cemetery for Adults &amp; Children</t>
  </si>
  <si>
    <t>Agency Services (Water &amp; Sewer)</t>
  </si>
  <si>
    <t>Acquisitions (Generator)</t>
  </si>
  <si>
    <t>O0001/IE00534/F0041/X058/R0229/001/6113</t>
  </si>
  <si>
    <t>O0001/IE00738/F0041/X058/R0229/001/6113</t>
  </si>
  <si>
    <t xml:space="preserve">Siyandhani ring road </t>
  </si>
  <si>
    <t>Makosha Phase 2 upgrading from gravel to paving</t>
  </si>
  <si>
    <t>O0001/IE01530/F0041/X101/R0229/001/6155</t>
  </si>
  <si>
    <t>O0001/IE01530/F0041/X079/R0229/001/6301</t>
  </si>
  <si>
    <t>O0001/IE01530/F0041/X019/R0229/001/6353</t>
  </si>
  <si>
    <t>O0001/IE01530/F0041/X115/R0229/001/6603</t>
  </si>
  <si>
    <t>O0001/IE01530/F0041/X119/R0229/001/6607</t>
  </si>
  <si>
    <t>O0001/IE01530/F0041/X032/R0229/001/6707</t>
  </si>
  <si>
    <t>O1401-1/IE00080/F0041/X132/R0230/001/6501</t>
  </si>
  <si>
    <t>D0001/IR01037/F0041/X119/R0230/001/6607</t>
  </si>
  <si>
    <t>O0001/IE07069/F0041/X046/R0229/001/6053</t>
  </si>
  <si>
    <t xml:space="preserve">ROADS </t>
  </si>
  <si>
    <t>D0001/IR01433/F0001/X004/R0229/001/6267</t>
  </si>
  <si>
    <t>C0040-20/IA01952/F0791/X116/R0035/001/6601</t>
  </si>
  <si>
    <t>Municipal Parking Fees</t>
  </si>
  <si>
    <t>C0006-13/IA06282/F0002/X032/R0229/001/6707</t>
  </si>
  <si>
    <t>Selawa upgrading of roads from gravel to paving</t>
  </si>
  <si>
    <t>LIM331_0114</t>
  </si>
  <si>
    <t>LIM331_0113</t>
  </si>
  <si>
    <t>LIM331_0115</t>
  </si>
  <si>
    <t>C0040-27/IA01952/F0791/X116/R0035/001/6601</t>
  </si>
  <si>
    <t>C0040-28/IA01952/F0791/X116/R0025/001/6601</t>
  </si>
  <si>
    <t>LIM331_0116</t>
  </si>
  <si>
    <t>C0040-29/IA01952/F0791/X116/R0027/001/6601</t>
  </si>
  <si>
    <t>LIM331_0117</t>
  </si>
  <si>
    <t>LIM331_0118</t>
  </si>
  <si>
    <t>O1369-33/IE00634/F13530/X032/R0036/001/6707</t>
  </si>
  <si>
    <t>O1369-25/IE00634/F13530/X032/R0028/001/6707</t>
  </si>
  <si>
    <t>O1369-27/IE00634/F0041/X032/R0034/001/6707</t>
  </si>
  <si>
    <t>O1369-34/IE00634/F13530/X032/R0023/001/6707</t>
  </si>
  <si>
    <t>O1369-38/IE00634/F13530/X032/R0043/001/6707</t>
  </si>
  <si>
    <t>O1369-39/IE00634/F13530/X032/R0043/001/6707</t>
  </si>
  <si>
    <t>O1369-11/IE00634/F0041/X032/R0029/001/6707</t>
  </si>
  <si>
    <t>O1369-12/IE00634/F0041/X032/R0035/001/6707</t>
  </si>
  <si>
    <t>O1369-20/IE00634/F0041/X032/R0024/001/6707</t>
  </si>
  <si>
    <t>O1369-21/IE00634/F0041/X032/R0024/001/6707</t>
  </si>
  <si>
    <t>O1369-23/IE00634/F0041/X032/R0030/001/6707</t>
  </si>
  <si>
    <t>D0001/IR01456/F0001/X116/R0230/001/6601</t>
  </si>
  <si>
    <t>O0001/IE01530/F0041/X049/R0229/001/6115</t>
  </si>
  <si>
    <t>O0001/IE00144/F0041/X099/R0229/001/6055</t>
  </si>
  <si>
    <t>O0001/IE00060/F0041/X099/R0229/001/6055</t>
  </si>
  <si>
    <t>O0001/IE01581/F0041/X099/R0229/001/6055</t>
  </si>
  <si>
    <t>O0001/IE00143/F0041/X099/R0229/001/6055</t>
  </si>
  <si>
    <t>O0001/IE00062/F0041/X099/R0229/001/6055</t>
  </si>
  <si>
    <t>O1369-22/IE00634/F13530/X032/R0030/001/6707</t>
  </si>
  <si>
    <t>O1369-25/IE00634/F0041/X032/R0028/001/6707</t>
  </si>
  <si>
    <t>O1369-6/IE00634/F0041/X032/R0025/001/6707</t>
  </si>
  <si>
    <t>O1369-19/IE00634/F13530/X032/R0032/001/6707</t>
  </si>
  <si>
    <t>O1369-27/IE00634/F13530/X032/R0034/001/6707</t>
  </si>
  <si>
    <t>Installation of High mast in 93 villages Including CBD</t>
  </si>
  <si>
    <t>2020/2021 APPROVED SPECIAL ADJUSTMENT BUDGET</t>
  </si>
  <si>
    <t>Aternative route from Elim Road R578 to Giyani via Siyandhani</t>
  </si>
  <si>
    <t>Vacant</t>
  </si>
  <si>
    <t>Danger Allowance</t>
  </si>
  <si>
    <t>Danger Allowances</t>
  </si>
  <si>
    <t>D0001/IR01517/F0042/X116/R0230/001/6607</t>
  </si>
  <si>
    <t>O0001/IE01532/F0041/X119/R0229/001/6607</t>
  </si>
  <si>
    <t>O0001/IE00063/F0041/X115/R0229/001/6603</t>
  </si>
  <si>
    <t>O0001/IE01532/F0041/X057/R0229/001/6351</t>
  </si>
  <si>
    <t>O0021-1/IE00738/F0041/X108/R0230/001/6273</t>
  </si>
  <si>
    <t>D0001/IR01480/F0044/X096/R0230/001/6153</t>
  </si>
  <si>
    <t>D0001/IR01502/F0039/X049/R0230/001/6115</t>
  </si>
  <si>
    <t>O0001/IE01533/F0041/X056/R0229/001/6057</t>
  </si>
  <si>
    <t>O0001/IE01530/F0041/X056/R0229/001/6057</t>
  </si>
  <si>
    <t>O1304-3/IE00119/F0041/X098/R0229/001/6153</t>
  </si>
  <si>
    <t>O1369-10/IE00634/F13530/X032/R0031/001/6707</t>
  </si>
  <si>
    <t>O1370-6/IE00634/F0041/X032/R0025/001/6707</t>
  </si>
  <si>
    <t>C0352-4/IA01952/F0002/X077/R0229/001/6107</t>
  </si>
  <si>
    <t>C0336-5/IA01952/F0002/X125/R0230/001/6401</t>
  </si>
  <si>
    <t>C0230-2/IA01952/F0002/X006/R0230/001/6255</t>
  </si>
  <si>
    <t>LIM331_0119</t>
  </si>
  <si>
    <t>C0040-29/IA01952/F0002/X116/R0230/001/6601</t>
  </si>
  <si>
    <t>2021/2022 APPROVED ORIGINAL BUDGET</t>
  </si>
  <si>
    <t>Hlomela upgrading from Gravel to Paving</t>
  </si>
  <si>
    <t>O0001/IE01532/F0041/X055/R0229/001/6107</t>
  </si>
  <si>
    <t xml:space="preserve">Reversal of impairment </t>
  </si>
  <si>
    <t>O0001/IE03969/F0041/X099/R0229/001/6055</t>
  </si>
  <si>
    <t>Electrification of Blinkwater village (150 units /stands)</t>
  </si>
  <si>
    <t>Electrification of Siyandhani village (450 units /stands)</t>
  </si>
  <si>
    <t>Electrification of Sifasonke village (220 units /stands)</t>
  </si>
  <si>
    <t>Electrification of Tomu village (160 units /stands)</t>
  </si>
  <si>
    <t>Electrification of Ndengeza village (250 units /stands)</t>
  </si>
  <si>
    <t>Electrification of Gon'on'o village (100 units /stands)</t>
  </si>
  <si>
    <t>Electrification of Mavalani village (413 units /stands)</t>
  </si>
  <si>
    <t>Electrification of Babangu village (110 units /stands)</t>
  </si>
  <si>
    <t>O1369-13/IE00634/F13530/X032/R0029/001/6707</t>
  </si>
  <si>
    <t>O1369-15/IE00634/F13530/X032/R0230/001/6707</t>
  </si>
  <si>
    <t>O1369-15/IE00634/F0041/X032/R0230/001/6707</t>
  </si>
  <si>
    <t>LIM331_0120</t>
  </si>
  <si>
    <t>C0040-27/IA01952/F0002/X116/R0035/001/6601</t>
  </si>
  <si>
    <t>C0040-33/IA01952/F0002/X116/R0039/001/6601</t>
  </si>
  <si>
    <t>D0001/IZ00102/F0001/X050/R0229/001/6111</t>
  </si>
  <si>
    <t>D0001/IZ00090/F0001/X050/R0229/001/6111</t>
  </si>
  <si>
    <t>D0001/IZ00118/F0001/X050/R0229/001/6111</t>
  </si>
  <si>
    <t>Plant &amp; Machinery - Auction of Assets</t>
  </si>
  <si>
    <t>Computer Accessories - Auction of Assets</t>
  </si>
  <si>
    <t>Motor Vehicles - Auction of Assets</t>
  </si>
  <si>
    <t>D0001/IZ00038/F0001/X049/R0230/001/6119</t>
  </si>
  <si>
    <t>O0001/IE07539/F0001/X047/R0229/001/6114</t>
  </si>
  <si>
    <t>O0001/IE00723/F0001/X047/R0229/001/6114</t>
  </si>
  <si>
    <t>O0001/IE07625/F0001/X047/R0229/001/6114</t>
  </si>
  <si>
    <t>O0001/IE00715/F0001/X047/R0229/001/6114</t>
  </si>
  <si>
    <t>O0001/IE07606/F0001/X047/R0229/001/6114</t>
  </si>
  <si>
    <t>O0001/IE00711/F0001/X047/R0229/001/6114</t>
  </si>
  <si>
    <t>O0001/IE00709/F0001/X047/R0229/001/6114</t>
  </si>
  <si>
    <t>C0244-1/IA01952/F0002/X125/R0029/001/6401</t>
  </si>
  <si>
    <t>C0086-3/IA04957/F0002/X096/R0229/001/6151</t>
  </si>
  <si>
    <t>2023/2024 PROPOSED INDICATIVE BUDGET</t>
  </si>
  <si>
    <t>2024/2025 PROPOSED INDICATIVE BUDGET</t>
  </si>
  <si>
    <t>2021/2022 APPROVED ADJUSTMENT BUDGET</t>
  </si>
  <si>
    <t>Electrification of Hlaneki village (150 units / stands)</t>
  </si>
  <si>
    <t>Electrification of Makhuva village (200 units /stands)</t>
  </si>
  <si>
    <t>Electrification of Nwadzekudzeku village (200 units /stands)</t>
  </si>
  <si>
    <t>Electrification of Maphata village (200 units / stands)</t>
  </si>
  <si>
    <t>Electrification of Nsavulani village (200 units /stands)</t>
  </si>
  <si>
    <t>Electrification of Church View village (200 units /stands)</t>
  </si>
  <si>
    <t>Electrification of Babangu View village (200 units / stands)</t>
  </si>
  <si>
    <t>Siyandhani ring road</t>
  </si>
  <si>
    <t>Shikhumba Upgrading from gravel to paving</t>
  </si>
  <si>
    <t>Shawela Upgrading from gravel to paving</t>
  </si>
  <si>
    <t>Makosha Upgrading from Gravel to Paving Phase 2</t>
  </si>
  <si>
    <t>Township Establishhment Dzingidzingi</t>
  </si>
  <si>
    <t>Township Establishment Sikhunyani</t>
  </si>
  <si>
    <t>Section E upgrading of 13km from gravel to paving</t>
  </si>
  <si>
    <t>Construction of car pots (Civic centre ,Unigaz ,Testing Station and brick yard)</t>
  </si>
  <si>
    <t>Electrification of Shivulani village (200 units /stands)</t>
  </si>
  <si>
    <t>Electrification Mninginisi block 3 (200 units /stands)</t>
  </si>
  <si>
    <t>Electrification of Xikukwani Eco park (200 units  / stands)</t>
  </si>
  <si>
    <t>Electrfication of Homu 14A extension (200 units /stands)</t>
  </si>
  <si>
    <t>Electrification of Bode extension (200 units / stands)</t>
  </si>
  <si>
    <t>Electrification of Sikhunyani village (200 units / stands)</t>
  </si>
  <si>
    <t>Electrification of Mapeyeni village (190 units / stands)</t>
  </si>
  <si>
    <t>O0001/IE01533/F0041/X125/R0229/001/6353</t>
  </si>
  <si>
    <t>Professional fees (Feasibility study for expansion of Giyani Cementry)</t>
  </si>
  <si>
    <t>O0001/IE00830/F0933/X049/R0229/001/6113</t>
  </si>
  <si>
    <t>-</t>
  </si>
  <si>
    <t xml:space="preserve">EAP Referrals  </t>
  </si>
  <si>
    <t>Employee Funeral Assistance</t>
  </si>
  <si>
    <t>Professional fees (Quantity Surveyors Compesation)</t>
  </si>
  <si>
    <t>LIM331_0130</t>
  </si>
  <si>
    <t>O1370-8/IE00634/F13530/X032/R0034/001/6707</t>
  </si>
  <si>
    <t>O1370-8/IE00634/F0041/X032/R0034/001/6707</t>
  </si>
  <si>
    <t>LIM331_0131</t>
  </si>
  <si>
    <t>O1369-40/IE00634/F13530/X032/R0044/001/6707</t>
  </si>
  <si>
    <t>O1369-40/IE00634/F0041/X032/R0044/001/6707</t>
  </si>
  <si>
    <t>LIM331_0132</t>
  </si>
  <si>
    <t>O1369-41/IE00634/F0041/X032/R0036/001/6707</t>
  </si>
  <si>
    <t>LIM331_0133</t>
  </si>
  <si>
    <t>O1369-42/IE00634/F13530/X032/R0018/001/6707</t>
  </si>
  <si>
    <t>O1369-42/IE00634/F0041/X032/R0018/001/6707</t>
  </si>
  <si>
    <t>LIM331_0134</t>
  </si>
  <si>
    <t>O1369-43/IE00634/F13530/X032/R0020/001/6707</t>
  </si>
  <si>
    <t>O1369-43/IE00634/F0041/X032/R0020/001/6707</t>
  </si>
  <si>
    <t>LIM331_0135</t>
  </si>
  <si>
    <t>O1369-44/IE00634/F13530/X032/R0043/001/6707</t>
  </si>
  <si>
    <t>O1369-44/IE00634/F0041/X032/R0043/001/6707</t>
  </si>
  <si>
    <t>LIM331_0136</t>
  </si>
  <si>
    <t>O1369-45/IE00634/F13530/X032/R0230/001/6707</t>
  </si>
  <si>
    <t>O1369-45/IE00634/F0041/X032/R0230/001/6707</t>
  </si>
  <si>
    <t>LIM331_0137</t>
  </si>
  <si>
    <t>O1369-46/IE00634/F13530/X032/R0032/001/6707</t>
  </si>
  <si>
    <t>O1369-46/IE00634/F0041/X032/R0032/001/6707</t>
  </si>
  <si>
    <t>LIM331_0138</t>
  </si>
  <si>
    <t>O1369-47/IE00634/F13530/X032/R0023/001/6707</t>
  </si>
  <si>
    <t>O1369-47/IE00634/F0041/X032/R0023/001/6707</t>
  </si>
  <si>
    <t>LIM331_0139</t>
  </si>
  <si>
    <t>O1369-48/IE00634/F13530/X032/R0036/001/6707</t>
  </si>
  <si>
    <t>O1369-48/IE00634/F0041/X032/R0036/001/6707</t>
  </si>
  <si>
    <t>LIM331_0140</t>
  </si>
  <si>
    <t>O1369-49/IE00634/F13530/X032/R0037/001/6707</t>
  </si>
  <si>
    <t>O1369-49/IE00634/F0041/X032/R0037/001/6707</t>
  </si>
  <si>
    <t>LIM331_0141</t>
  </si>
  <si>
    <t>O1369-50/IE00634/F13530/X032/R0027/001/6707</t>
  </si>
  <si>
    <t>O1369-50/IE00634/F0041/X032/R0027/001/6707</t>
  </si>
  <si>
    <t>LIM331_0142</t>
  </si>
  <si>
    <t>O1369-51/IE00634/F13530/X032/R0026/001/6707</t>
  </si>
  <si>
    <t>Electrification of Homu 14A extension (200 units /stands)</t>
  </si>
  <si>
    <t>O1369-51/IE00634/F0041/X032/R0026/001/6707</t>
  </si>
  <si>
    <t>LIM331_0143</t>
  </si>
  <si>
    <t>O1369-52/IE00634/F13530/X032/R0025/001/6707</t>
  </si>
  <si>
    <t>O1369-52/IE00634/F0041/X032/R0025/001/6707</t>
  </si>
  <si>
    <t>LIM331_0144</t>
  </si>
  <si>
    <t>O1369-53/IE00634/F13530/X032/R0018/001/6707</t>
  </si>
  <si>
    <t>O1369-53/IE00634/F0041/X032/R0018/001/6707</t>
  </si>
  <si>
    <t>LIM331_0145</t>
  </si>
  <si>
    <t>O1369-54/IE00634/F13530/X032/R0029/001/6707</t>
  </si>
  <si>
    <t>O1369-54/IE00634/F0041/X032/R0029/001/6707</t>
  </si>
  <si>
    <t>C0040-33/IA01952/F0791/X116/R0230/001/6601</t>
  </si>
  <si>
    <t>LIM331_0121</t>
  </si>
  <si>
    <t>C0040-33/IA01952/F0791/X116/R0042/001/6601</t>
  </si>
  <si>
    <t>LIM331_0122</t>
  </si>
  <si>
    <t>C0040-35/IA01952/F0791/X116/R0042/001/6601</t>
  </si>
  <si>
    <t>C0040-28/IA01952/F0002/X116/R0025/001/6601</t>
  </si>
  <si>
    <t>C0040-33/IA01952/F0002/X116/R0042/001/6601</t>
  </si>
  <si>
    <t>C0040-35/IA01952/F0002/X116/R0042/001/6601</t>
  </si>
  <si>
    <t>C0040-29/IA01952/F0002/X116/R0027/001/6601</t>
  </si>
  <si>
    <t>LIM331_0123</t>
  </si>
  <si>
    <t>O0025-16/IE00001/F0041/X101/R0041/001/6155</t>
  </si>
  <si>
    <t>LIM331_0124</t>
  </si>
  <si>
    <t>O0025-18/IE00001/F0041/X101/R0041/001/6155</t>
  </si>
  <si>
    <t>LIM331_0129</t>
  </si>
  <si>
    <t>Mahumani Presinct Plan</t>
  </si>
  <si>
    <t>O0025-22/IE00001/F0041/X101/R0230/001/6155</t>
  </si>
  <si>
    <t>LIM331_0125</t>
  </si>
  <si>
    <t>Street Naming Giyani E</t>
  </si>
  <si>
    <t>O0025-20/IE00001/F0041/X101/R0021/001/6155</t>
  </si>
  <si>
    <t>LIM331_0126</t>
  </si>
  <si>
    <t>Street Naming Kremetart</t>
  </si>
  <si>
    <t>O0025-22/IE00001/F0041/X101/R0041/001/6155</t>
  </si>
  <si>
    <t>LIM331_0127</t>
  </si>
  <si>
    <t>C0040-37/IA01952/F0002/X116/R0021/001/6601</t>
  </si>
  <si>
    <t>LIM331_0128</t>
  </si>
  <si>
    <t>C0261-3/IA01952/F0002/X116/R0229/001/6601</t>
  </si>
  <si>
    <t>O0025-15/IE00855/F0041/X099/R0230/001/6055</t>
  </si>
  <si>
    <t>O1299-1/IE00840/F0041/X051/R0229/001/6104</t>
  </si>
  <si>
    <t>O1299-2/IE03755/F0041/X051/R0229/001/6103</t>
  </si>
  <si>
    <t>Professional fees(Landfill operations and expansion of refuse services to rural areas)</t>
  </si>
  <si>
    <t>O1241-1/IE00001/F0041/X004/R0230/001/6267</t>
  </si>
  <si>
    <t>O1369-26/IE00634/F13530/X032/R0032/001/6707</t>
  </si>
  <si>
    <t>2021/2022 APPROVED SPECIAL ADJUSTMENT BUDGET</t>
  </si>
  <si>
    <t>Township establishment Ndengeza 500 sites</t>
  </si>
  <si>
    <t>APPROVED  BUDGET 2022 2023</t>
  </si>
  <si>
    <t>2022/2023 APPROVED 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</si>
</sst>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_-;\-* #,##0_-;_-* &quot;-&quot;??_-;_-@_-"/>
    <numFmt numFmtId="167" formatCode="_-* #,##0.000_-;\-* #,##0.000_-;_-* &quot;-&quot;?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 Narrow"/>
      <family val="2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5" applyNumberFormat="0" applyAlignment="0" applyProtection="0"/>
    <xf numFmtId="0" fontId="22" fillId="24" borderId="6" applyNumberFormat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10" borderId="5" applyNumberFormat="0" applyAlignment="0" applyProtection="0"/>
    <xf numFmtId="0" fontId="29" fillId="0" borderId="10" applyNumberFormat="0" applyFill="0" applyAlignment="0" applyProtection="0"/>
    <xf numFmtId="0" fontId="30" fillId="25" borderId="0" applyNumberFormat="0" applyBorder="0" applyAlignment="0" applyProtection="0"/>
    <xf numFmtId="0" fontId="15" fillId="0" borderId="0"/>
    <xf numFmtId="0" fontId="15" fillId="0" borderId="0"/>
    <xf numFmtId="0" fontId="15" fillId="26" borderId="11" applyNumberFormat="0" applyFont="0" applyAlignment="0" applyProtection="0"/>
    <xf numFmtId="0" fontId="31" fillId="23" borderId="12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26" borderId="11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43" fontId="1" fillId="0" borderId="0" xfId="1" applyFont="1" applyAlignment="1">
      <alignment horizontal="right" vertical="top"/>
    </xf>
    <xf numFmtId="43" fontId="1" fillId="0" borderId="0" xfId="1" applyFont="1" applyAlignment="1">
      <alignment horizontal="center" vertical="top"/>
    </xf>
    <xf numFmtId="43" fontId="1" fillId="0" borderId="0" xfId="1" applyFont="1" applyAlignment="1">
      <alignment horizontal="left" vertical="top"/>
    </xf>
    <xf numFmtId="43" fontId="1" fillId="0" borderId="0" xfId="1" applyFont="1" applyAlignment="1">
      <alignment horizontal="center" vertical="top" wrapText="1"/>
    </xf>
    <xf numFmtId="43" fontId="0" fillId="0" borderId="0" xfId="1" applyFont="1" applyAlignment="1">
      <alignment horizontal="center" vertical="top"/>
    </xf>
    <xf numFmtId="43" fontId="0" fillId="0" borderId="0" xfId="1" applyFont="1" applyAlignment="1">
      <alignment horizontal="center" vertical="top" wrapText="1"/>
    </xf>
    <xf numFmtId="43" fontId="2" fillId="0" borderId="0" xfId="1" applyFont="1" applyAlignment="1">
      <alignment horizontal="center" vertical="top" wrapText="1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4" fontId="7" fillId="0" borderId="0" xfId="0" applyNumberFormat="1" applyFont="1"/>
    <xf numFmtId="0" fontId="7" fillId="0" borderId="0" xfId="0" applyFont="1"/>
    <xf numFmtId="164" fontId="4" fillId="0" borderId="0" xfId="0" applyNumberFormat="1" applyFont="1"/>
    <xf numFmtId="43" fontId="5" fillId="0" borderId="0" xfId="1" applyFont="1"/>
    <xf numFmtId="0" fontId="8" fillId="0" borderId="0" xfId="0" applyFont="1"/>
    <xf numFmtId="164" fontId="4" fillId="3" borderId="0" xfId="0" applyNumberFormat="1" applyFont="1" applyFill="1"/>
    <xf numFmtId="164" fontId="5" fillId="3" borderId="2" xfId="0" applyNumberFormat="1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3" fontId="3" fillId="0" borderId="0" xfId="1" applyFont="1" applyAlignment="1">
      <alignment horizontal="right" vertical="top"/>
    </xf>
    <xf numFmtId="43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3" fontId="3" fillId="0" borderId="0" xfId="1" applyFont="1" applyAlignment="1">
      <alignment horizontal="left" vertical="top"/>
    </xf>
    <xf numFmtId="43" fontId="10" fillId="0" borderId="0" xfId="1" applyFont="1" applyAlignment="1">
      <alignment horizontal="center" vertical="top"/>
    </xf>
    <xf numFmtId="166" fontId="1" fillId="0" borderId="0" xfId="1" applyNumberFormat="1" applyFont="1" applyAlignment="1">
      <alignment horizontal="center" vertical="top"/>
    </xf>
    <xf numFmtId="166" fontId="0" fillId="0" borderId="0" xfId="1" applyNumberFormat="1" applyFont="1" applyAlignment="1">
      <alignment horizontal="center" vertical="top"/>
    </xf>
    <xf numFmtId="166" fontId="2" fillId="0" borderId="0" xfId="1" applyNumberFormat="1" applyFont="1" applyAlignment="1">
      <alignment horizontal="center" vertical="top"/>
    </xf>
    <xf numFmtId="166" fontId="2" fillId="0" borderId="1" xfId="1" applyNumberFormat="1" applyFont="1" applyBorder="1" applyAlignment="1">
      <alignment horizontal="center" vertical="top" wrapText="1"/>
    </xf>
    <xf numFmtId="166" fontId="11" fillId="0" borderId="0" xfId="1" applyNumberFormat="1" applyFont="1" applyAlignment="1">
      <alignment horizontal="center" vertical="top"/>
    </xf>
    <xf numFmtId="166" fontId="3" fillId="0" borderId="0" xfId="1" applyNumberFormat="1" applyFont="1" applyAlignment="1">
      <alignment horizontal="center" vertical="top"/>
    </xf>
    <xf numFmtId="166" fontId="0" fillId="0" borderId="0" xfId="0" applyNumberFormat="1" applyFont="1" applyAlignment="1">
      <alignment horizontal="center" vertical="top"/>
    </xf>
    <xf numFmtId="166" fontId="3" fillId="0" borderId="0" xfId="1" applyNumberFormat="1" applyFont="1" applyAlignment="1">
      <alignment horizontal="center" vertical="top" wrapText="1"/>
    </xf>
    <xf numFmtId="0" fontId="6" fillId="0" borderId="0" xfId="0" applyFont="1"/>
    <xf numFmtId="0" fontId="4" fillId="0" borderId="0" xfId="0" applyFont="1" applyFill="1"/>
    <xf numFmtId="43" fontId="10" fillId="0" borderId="0" xfId="1" applyFont="1" applyAlignment="1">
      <alignment horizontal="center" vertical="top" wrapText="1"/>
    </xf>
    <xf numFmtId="43" fontId="10" fillId="0" borderId="1" xfId="1" applyFont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 vertical="top"/>
    </xf>
    <xf numFmtId="43" fontId="3" fillId="0" borderId="0" xfId="1" applyFont="1" applyAlignment="1">
      <alignment horizontal="center" vertical="top" wrapText="1"/>
    </xf>
    <xf numFmtId="166" fontId="10" fillId="0" borderId="0" xfId="1" applyNumberFormat="1" applyFont="1" applyAlignment="1">
      <alignment horizontal="center" vertical="top"/>
    </xf>
    <xf numFmtId="43" fontId="12" fillId="0" borderId="0" xfId="1" applyFont="1" applyAlignment="1">
      <alignment horizontal="center" vertical="top" wrapText="1"/>
    </xf>
    <xf numFmtId="0" fontId="12" fillId="4" borderId="0" xfId="0" applyFont="1" applyFill="1" applyAlignment="1">
      <alignment horizontal="left" vertical="top"/>
    </xf>
    <xf numFmtId="166" fontId="12" fillId="0" borderId="0" xfId="1" applyNumberFormat="1" applyFont="1" applyAlignment="1">
      <alignment horizontal="center" vertical="top"/>
    </xf>
    <xf numFmtId="166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6" fontId="13" fillId="0" borderId="0" xfId="1" applyNumberFormat="1" applyFont="1" applyAlignment="1">
      <alignment horizontal="center" vertical="top"/>
    </xf>
    <xf numFmtId="0" fontId="9" fillId="0" borderId="0" xfId="0" applyFont="1" applyBorder="1"/>
    <xf numFmtId="0" fontId="5" fillId="0" borderId="0" xfId="0" applyFont="1" applyBorder="1"/>
    <xf numFmtId="166" fontId="2" fillId="0" borderId="0" xfId="0" applyNumberFormat="1" applyFont="1"/>
    <xf numFmtId="43" fontId="17" fillId="0" borderId="15" xfId="1" applyFont="1" applyFill="1" applyBorder="1" applyProtection="1"/>
    <xf numFmtId="43" fontId="0" fillId="0" borderId="0" xfId="0" applyNumberFormat="1"/>
    <xf numFmtId="43" fontId="0" fillId="0" borderId="0" xfId="1" applyFont="1"/>
    <xf numFmtId="43" fontId="2" fillId="0" borderId="0" xfId="1" applyFont="1"/>
    <xf numFmtId="43" fontId="35" fillId="0" borderId="14" xfId="1" applyFont="1" applyFill="1" applyBorder="1" applyProtection="1"/>
    <xf numFmtId="166" fontId="2" fillId="0" borderId="0" xfId="1" applyNumberFormat="1" applyFont="1" applyAlignment="1">
      <alignment horizontal="right" vertical="top"/>
    </xf>
    <xf numFmtId="43" fontId="5" fillId="0" borderId="0" xfId="0" applyNumberFormat="1" applyFont="1"/>
    <xf numFmtId="0" fontId="3" fillId="0" borderId="0" xfId="0" applyFont="1"/>
    <xf numFmtId="0" fontId="6" fillId="0" borderId="0" xfId="0" applyFont="1" applyFill="1"/>
    <xf numFmtId="0" fontId="6" fillId="0" borderId="0" xfId="0" applyFont="1" applyFill="1" applyAlignment="1">
      <alignment wrapText="1"/>
    </xf>
    <xf numFmtId="166" fontId="3" fillId="0" borderId="0" xfId="1" applyNumberFormat="1" applyFont="1" applyFill="1" applyAlignment="1">
      <alignment horizontal="center" vertical="top"/>
    </xf>
    <xf numFmtId="166" fontId="10" fillId="0" borderId="0" xfId="1" applyNumberFormat="1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43" fontId="10" fillId="0" borderId="0" xfId="1" applyFont="1" applyFill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3" fontId="3" fillId="0" borderId="0" xfId="1" applyFont="1" applyFill="1" applyAlignment="1">
      <alignment horizontal="center" vertical="top"/>
    </xf>
    <xf numFmtId="166" fontId="10" fillId="0" borderId="0" xfId="1" applyNumberFormat="1" applyFont="1" applyFill="1" applyAlignment="1">
      <alignment horizontal="right" vertical="top"/>
    </xf>
    <xf numFmtId="166" fontId="10" fillId="0" borderId="0" xfId="0" applyNumberFormat="1" applyFont="1" applyFill="1" applyAlignment="1">
      <alignment horizontal="center" vertical="top"/>
    </xf>
    <xf numFmtId="43" fontId="10" fillId="0" borderId="0" xfId="1" applyFont="1" applyFill="1" applyAlignment="1">
      <alignment horizontal="right" vertical="top"/>
    </xf>
    <xf numFmtId="43" fontId="3" fillId="0" borderId="0" xfId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horizontal="left" vertical="top"/>
    </xf>
    <xf numFmtId="43" fontId="10" fillId="0" borderId="0" xfId="0" applyNumberFormat="1" applyFont="1" applyFill="1" applyAlignment="1">
      <alignment horizontal="center" vertical="top"/>
    </xf>
    <xf numFmtId="166" fontId="10" fillId="0" borderId="1" xfId="1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43" fontId="10" fillId="0" borderId="0" xfId="1" applyFont="1" applyAlignment="1">
      <alignment horizontal="right" vertical="top"/>
    </xf>
    <xf numFmtId="166" fontId="10" fillId="0" borderId="0" xfId="1" applyNumberFormat="1" applyFont="1" applyAlignment="1">
      <alignment horizontal="right" vertical="top"/>
    </xf>
    <xf numFmtId="0" fontId="6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3" fillId="3" borderId="0" xfId="0" applyFont="1" applyFill="1" applyAlignment="1">
      <alignment horizontal="center" vertical="top"/>
    </xf>
    <xf numFmtId="166" fontId="3" fillId="3" borderId="0" xfId="1" applyNumberFormat="1" applyFont="1" applyFill="1" applyAlignment="1">
      <alignment horizontal="center" vertical="top"/>
    </xf>
    <xf numFmtId="43" fontId="10" fillId="3" borderId="0" xfId="1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" fillId="27" borderId="0" xfId="0" applyFont="1" applyFill="1" applyAlignment="1">
      <alignment horizontal="left" vertical="top"/>
    </xf>
    <xf numFmtId="0" fontId="3" fillId="27" borderId="0" xfId="0" applyFont="1" applyFill="1" applyAlignment="1">
      <alignment horizontal="center" vertical="top"/>
    </xf>
    <xf numFmtId="0" fontId="10" fillId="27" borderId="0" xfId="0" applyFont="1" applyFill="1" applyAlignment="1">
      <alignment horizontal="center" vertical="top"/>
    </xf>
    <xf numFmtId="43" fontId="3" fillId="3" borderId="0" xfId="1" applyFont="1" applyFill="1" applyAlignment="1">
      <alignment horizontal="center" vertical="top"/>
    </xf>
    <xf numFmtId="0" fontId="37" fillId="3" borderId="0" xfId="0" applyFont="1" applyFill="1" applyAlignment="1" applyProtection="1">
      <alignment vertical="top"/>
      <protection locked="0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6" xfId="0" applyFont="1" applyBorder="1"/>
    <xf numFmtId="164" fontId="4" fillId="3" borderId="16" xfId="0" applyNumberFormat="1" applyFont="1" applyFill="1" applyBorder="1"/>
    <xf numFmtId="166" fontId="5" fillId="0" borderId="0" xfId="1" applyNumberFormat="1" applyFont="1"/>
    <xf numFmtId="166" fontId="3" fillId="3" borderId="0" xfId="1" applyNumberFormat="1" applyFont="1" applyFill="1" applyAlignment="1">
      <alignment horizontal="right" vertical="top"/>
    </xf>
    <xf numFmtId="166" fontId="3" fillId="0" borderId="0" xfId="1" applyNumberFormat="1" applyFont="1" applyFill="1" applyAlignment="1">
      <alignment horizontal="right" vertical="top"/>
    </xf>
    <xf numFmtId="166" fontId="3" fillId="0" borderId="0" xfId="1" applyNumberFormat="1" applyFont="1" applyAlignment="1">
      <alignment horizontal="right" vertical="top"/>
    </xf>
    <xf numFmtId="167" fontId="10" fillId="0" borderId="0" xfId="0" applyNumberFormat="1" applyFont="1" applyAlignment="1">
      <alignment horizontal="center" vertical="top"/>
    </xf>
    <xf numFmtId="43" fontId="10" fillId="3" borderId="0" xfId="0" applyNumberFormat="1" applyFont="1" applyFill="1" applyAlignment="1">
      <alignment horizontal="center" vertical="top"/>
    </xf>
    <xf numFmtId="43" fontId="10" fillId="0" borderId="0" xfId="1" applyFont="1" applyFill="1" applyAlignment="1">
      <alignment horizontal="center" vertical="top" wrapText="1"/>
    </xf>
    <xf numFmtId="43" fontId="10" fillId="0" borderId="0" xfId="1" applyFont="1" applyBorder="1" applyAlignment="1">
      <alignment horizontal="center" vertical="top" wrapText="1"/>
    </xf>
    <xf numFmtId="43" fontId="3" fillId="0" borderId="0" xfId="63" applyFont="1" applyFill="1" applyAlignment="1">
      <alignment horizontal="center" vertical="top"/>
    </xf>
    <xf numFmtId="43" fontId="3" fillId="0" borderId="0" xfId="65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166" fontId="39" fillId="0" borderId="0" xfId="1" applyNumberFormat="1" applyFont="1" applyFill="1" applyAlignment="1">
      <alignment horizontal="center" vertical="top"/>
    </xf>
    <xf numFmtId="166" fontId="10" fillId="3" borderId="0" xfId="1" applyNumberFormat="1" applyFont="1" applyFill="1" applyAlignment="1">
      <alignment horizontal="center" vertical="top"/>
    </xf>
    <xf numFmtId="166" fontId="40" fillId="0" borderId="0" xfId="1" applyNumberFormat="1" applyFont="1" applyFill="1" applyAlignment="1">
      <alignment horizontal="center" vertical="top"/>
    </xf>
    <xf numFmtId="166" fontId="3" fillId="0" borderId="0" xfId="65" applyNumberFormat="1" applyFont="1" applyFill="1" applyAlignment="1">
      <alignment horizontal="center" vertical="top"/>
    </xf>
    <xf numFmtId="43" fontId="4" fillId="0" borderId="0" xfId="0" applyNumberFormat="1" applyFont="1"/>
    <xf numFmtId="166" fontId="40" fillId="3" borderId="0" xfId="1" applyNumberFormat="1" applyFont="1" applyFill="1" applyAlignment="1">
      <alignment horizontal="center" vertical="top"/>
    </xf>
    <xf numFmtId="0" fontId="41" fillId="0" borderId="0" xfId="0" applyFont="1"/>
    <xf numFmtId="0" fontId="41" fillId="3" borderId="0" xfId="0" applyFont="1" applyFill="1"/>
    <xf numFmtId="43" fontId="5" fillId="2" borderId="0" xfId="0" applyNumberFormat="1" applyFont="1" applyFill="1"/>
    <xf numFmtId="166" fontId="3" fillId="0" borderId="0" xfId="0" applyNumberFormat="1" applyFont="1" applyFill="1" applyAlignment="1">
      <alignment horizontal="center" vertical="top"/>
    </xf>
    <xf numFmtId="43" fontId="10" fillId="28" borderId="0" xfId="1" applyFont="1" applyFill="1" applyAlignment="1">
      <alignment horizontal="center" vertical="top"/>
    </xf>
    <xf numFmtId="43" fontId="10" fillId="28" borderId="0" xfId="1" applyFont="1" applyFill="1" applyAlignment="1">
      <alignment horizontal="center" vertical="top" wrapText="1"/>
    </xf>
    <xf numFmtId="43" fontId="2" fillId="28" borderId="0" xfId="1" applyFont="1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top"/>
    </xf>
    <xf numFmtId="166" fontId="1" fillId="3" borderId="0" xfId="1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43" fontId="2" fillId="3" borderId="0" xfId="1" applyFont="1" applyFill="1" applyAlignment="1">
      <alignment horizontal="center" vertical="top"/>
    </xf>
    <xf numFmtId="0" fontId="37" fillId="3" borderId="20" xfId="0" applyFont="1" applyFill="1" applyBorder="1" applyAlignment="1">
      <alignment vertical="center" wrapText="1"/>
    </xf>
    <xf numFmtId="0" fontId="38" fillId="3" borderId="0" xfId="0" applyFont="1" applyFill="1" applyAlignment="1">
      <alignment horizontal="center" vertical="top"/>
    </xf>
    <xf numFmtId="3" fontId="4" fillId="0" borderId="0" xfId="0" applyNumberFormat="1" applyFont="1"/>
    <xf numFmtId="43" fontId="9" fillId="0" borderId="0" xfId="1" applyFont="1"/>
    <xf numFmtId="43" fontId="42" fillId="0" borderId="0" xfId="1" applyFont="1"/>
    <xf numFmtId="164" fontId="6" fillId="3" borderId="16" xfId="0" applyNumberFormat="1" applyFont="1" applyFill="1" applyBorder="1"/>
    <xf numFmtId="0" fontId="3" fillId="0" borderId="0" xfId="0" applyFont="1" applyFill="1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/>
    <xf numFmtId="164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166" fontId="3" fillId="3" borderId="0" xfId="73" applyNumberFormat="1" applyFont="1" applyFill="1" applyAlignment="1">
      <alignment horizontal="center" vertical="top"/>
    </xf>
    <xf numFmtId="0" fontId="41" fillId="0" borderId="0" xfId="0" applyFont="1"/>
    <xf numFmtId="43" fontId="10" fillId="0" borderId="0" xfId="0" applyNumberFormat="1" applyFont="1" applyAlignment="1">
      <alignment horizontal="center" vertical="top"/>
    </xf>
    <xf numFmtId="43" fontId="3" fillId="3" borderId="0" xfId="1" applyFont="1" applyFill="1" applyAlignment="1">
      <alignment horizontal="left" vertical="top" indent="4"/>
    </xf>
    <xf numFmtId="43" fontId="3" fillId="0" borderId="0" xfId="1" applyFont="1" applyFill="1" applyAlignment="1">
      <alignment horizontal="left" vertical="top" indent="4"/>
    </xf>
    <xf numFmtId="43" fontId="3" fillId="3" borderId="0" xfId="1" applyFont="1" applyFill="1" applyAlignment="1">
      <alignment horizontal="left" vertical="top" indent="6"/>
    </xf>
    <xf numFmtId="43" fontId="3" fillId="0" borderId="0" xfId="1" applyFont="1" applyFill="1" applyAlignment="1">
      <alignment horizontal="left" vertical="top" indent="6"/>
    </xf>
    <xf numFmtId="43" fontId="4" fillId="0" borderId="0" xfId="1" applyFont="1"/>
    <xf numFmtId="0" fontId="41" fillId="0" borderId="0" xfId="0" applyFont="1" applyAlignment="1">
      <alignment vertical="center"/>
    </xf>
    <xf numFmtId="43" fontId="2" fillId="0" borderId="0" xfId="0" applyNumberFormat="1" applyFont="1" applyAlignment="1">
      <alignment horizontal="center" vertical="top"/>
    </xf>
    <xf numFmtId="166" fontId="10" fillId="0" borderId="0" xfId="0" applyNumberFormat="1" applyFont="1" applyAlignment="1">
      <alignment horizontal="center" vertical="top"/>
    </xf>
    <xf numFmtId="43" fontId="3" fillId="28" borderId="0" xfId="1" applyFont="1" applyFill="1" applyAlignment="1">
      <alignment horizontal="center" vertical="top"/>
    </xf>
    <xf numFmtId="166" fontId="3" fillId="27" borderId="0" xfId="1" applyNumberFormat="1" applyFont="1" applyFill="1" applyAlignment="1">
      <alignment horizontal="center" vertical="top"/>
    </xf>
  </cellXfs>
  <cellStyles count="7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1" builtinId="3"/>
    <cellStyle name="Comma 2" xfId="31" xr:uid="{00000000-0005-0000-0000-00001C000000}"/>
    <cellStyle name="Comma 2 2" xfId="55" xr:uid="{00000000-0005-0000-0000-00001D000000}"/>
    <cellStyle name="Comma 3" xfId="30" xr:uid="{00000000-0005-0000-0000-00001E000000}"/>
    <cellStyle name="Comma 3 2" xfId="54" xr:uid="{00000000-0005-0000-0000-00001F000000}"/>
    <cellStyle name="Comma 3 2 2" xfId="66" xr:uid="{AB6E8D9C-9290-4E5A-8AB7-FF4C18EC0D3C}"/>
    <cellStyle name="Comma 3 2 2 2" xfId="74" xr:uid="{0E8DE919-D8B9-4106-B198-82F95488A06C}"/>
    <cellStyle name="Comma 3 2 3" xfId="70" xr:uid="{0F8BBEDA-0A4E-4FD3-8F57-DBC3C6CCFC81}"/>
    <cellStyle name="Comma 3 3" xfId="64" xr:uid="{D2E80B9B-936C-4625-945B-B98B38F78207}"/>
    <cellStyle name="Comma 3 3 2" xfId="72" xr:uid="{6B68F3A5-37FB-4B46-BFFB-C04BD74621DA}"/>
    <cellStyle name="Comma 3 4" xfId="68" xr:uid="{7A86606B-11C2-440E-B800-80D017AF7BD7}"/>
    <cellStyle name="Comma 4" xfId="53" xr:uid="{00000000-0005-0000-0000-000020000000}"/>
    <cellStyle name="Comma 4 2" xfId="65" xr:uid="{A0BA1180-8BD0-44F9-9A72-52695B61BCCC}"/>
    <cellStyle name="Comma 4 2 2" xfId="73" xr:uid="{66E86138-DC09-4C49-BCEE-2C5CD51609A4}"/>
    <cellStyle name="Comma 4 3" xfId="69" xr:uid="{0573A857-86C7-4E90-8013-480E1D65595F}"/>
    <cellStyle name="Comma 5" xfId="63" xr:uid="{84E26B3C-5F62-4B4D-9A8C-AE52EBF7E478}"/>
    <cellStyle name="Comma 5 2" xfId="71" xr:uid="{9F03AB58-7249-4AA4-B76F-A9BAB33E15CE}"/>
    <cellStyle name="Comma 6" xfId="67" xr:uid="{1F2C2F7D-7AD0-46B2-B1DB-8D74B59F957E}"/>
    <cellStyle name="Explanatory Text 2" xfId="32" xr:uid="{00000000-0005-0000-0000-000021000000}"/>
    <cellStyle name="Good 2" xfId="33" xr:uid="{00000000-0005-0000-0000-000022000000}"/>
    <cellStyle name="Heading 1 2" xfId="34" xr:uid="{00000000-0005-0000-0000-000023000000}"/>
    <cellStyle name="Heading 2 2" xfId="35" xr:uid="{00000000-0005-0000-0000-000024000000}"/>
    <cellStyle name="Heading 3 2" xfId="36" xr:uid="{00000000-0005-0000-0000-000025000000}"/>
    <cellStyle name="Heading 4 2" xfId="37" xr:uid="{00000000-0005-0000-0000-000026000000}"/>
    <cellStyle name="Hyperlink 2" xfId="38" xr:uid="{00000000-0005-0000-0000-000027000000}"/>
    <cellStyle name="Input 2" xfId="39" xr:uid="{00000000-0005-0000-0000-000028000000}"/>
    <cellStyle name="Linked Cell 2" xfId="40" xr:uid="{00000000-0005-0000-0000-000029000000}"/>
    <cellStyle name="Neutral 2" xfId="41" xr:uid="{00000000-0005-0000-0000-00002A000000}"/>
    <cellStyle name="Normal" xfId="0" builtinId="0"/>
    <cellStyle name="Normal 2" xfId="42" xr:uid="{00000000-0005-0000-0000-00002C000000}"/>
    <cellStyle name="Normal 2 2" xfId="56" xr:uid="{00000000-0005-0000-0000-00002D000000}"/>
    <cellStyle name="Normal 3" xfId="2" xr:uid="{00000000-0005-0000-0000-00002E000000}"/>
    <cellStyle name="Normal 4" xfId="43" xr:uid="{00000000-0005-0000-0000-00002F000000}"/>
    <cellStyle name="Normal 4 2" xfId="57" xr:uid="{00000000-0005-0000-0000-000030000000}"/>
    <cellStyle name="Note 2" xfId="44" xr:uid="{00000000-0005-0000-0000-000031000000}"/>
    <cellStyle name="Note 2 2" xfId="58" xr:uid="{00000000-0005-0000-0000-000032000000}"/>
    <cellStyle name="Output 2" xfId="45" xr:uid="{00000000-0005-0000-0000-000033000000}"/>
    <cellStyle name="Percent 10 2" xfId="47" xr:uid="{00000000-0005-0000-0000-000034000000}"/>
    <cellStyle name="Percent 10 2 2" xfId="48" xr:uid="{00000000-0005-0000-0000-000035000000}"/>
    <cellStyle name="Percent 10 2 2 2" xfId="61" xr:uid="{00000000-0005-0000-0000-000036000000}"/>
    <cellStyle name="Percent 10 2 3" xfId="60" xr:uid="{00000000-0005-0000-0000-000037000000}"/>
    <cellStyle name="Percent 2" xfId="46" xr:uid="{00000000-0005-0000-0000-000038000000}"/>
    <cellStyle name="Percent 2 2" xfId="59" xr:uid="{00000000-0005-0000-0000-000039000000}"/>
    <cellStyle name="Percent 3" xfId="49" xr:uid="{00000000-0005-0000-0000-00003A000000}"/>
    <cellStyle name="Percent 3 2" xfId="62" xr:uid="{00000000-0005-0000-0000-00003B000000}"/>
    <cellStyle name="Title 2" xfId="50" xr:uid="{00000000-0005-0000-0000-00003C000000}"/>
    <cellStyle name="Total 2" xfId="51" xr:uid="{00000000-0005-0000-0000-00003D000000}"/>
    <cellStyle name="Warning Text 2" xfId="52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Draft%20Budget%202022%202023%20Financial%20Year/Draft%20Salary%20Budget%202022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Salary%20Budget%202022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Draft%20Budget%202022%202023%20Financial%20Year/Copy%20of%20Adjustment%20Salary%20Budget%202021%202022%20Draft...%20Updating..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Adjustment%20%20Budget%20%202021%202022%20Financial%20Year/Adjustment%20Salary%20Budget%202021%202022%20Draft..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Draft%20Budget%202021%202022%20Financial%20Year/Draft%20Salary%20Budget%202021%202022%20NGUNYULU%20M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Approved%20Budget%202019%202020%20Financial%20Year/Approved%20Salary%20Budget%202019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Adjustment%20Budget%202019%202020%20Financial%20Year/Adjustment%20Salary%20Budget%202019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haun/Desktop/Documents/Approved%20Budget%202019%202020%20Financial%20Year/Draft%20Salary%20Budget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401SPORTS"/>
      <sheetName val="6353DISA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  <sheetName val="Sheet4"/>
      <sheetName val="Sheet5"/>
      <sheetName val="Sheet6"/>
    </sheetNames>
    <sheetDataSet>
      <sheetData sheetId="0">
        <row r="6">
          <cell r="E6">
            <v>541825.28399999999</v>
          </cell>
          <cell r="M6">
            <v>180608.34407999998</v>
          </cell>
          <cell r="N6">
            <v>40800</v>
          </cell>
          <cell r="O6">
            <v>3600</v>
          </cell>
          <cell r="R6">
            <v>5418.2528400000001</v>
          </cell>
        </row>
      </sheetData>
      <sheetData sheetId="1">
        <row r="5">
          <cell r="E5">
            <v>677280.84971999994</v>
          </cell>
          <cell r="M5">
            <v>225760.24127999999</v>
          </cell>
          <cell r="N5">
            <v>40800</v>
          </cell>
          <cell r="O5">
            <v>3600</v>
          </cell>
          <cell r="R5">
            <v>6772.8084971999997</v>
          </cell>
        </row>
      </sheetData>
      <sheetData sheetId="2">
        <row r="62">
          <cell r="E62">
            <v>14732279.320439992</v>
          </cell>
          <cell r="M62">
            <v>4914156.939000004</v>
          </cell>
          <cell r="N62">
            <v>2448000</v>
          </cell>
          <cell r="O62">
            <v>216000</v>
          </cell>
          <cell r="R62">
            <v>147322.79320439999</v>
          </cell>
        </row>
      </sheetData>
      <sheetData sheetId="3">
        <row r="3">
          <cell r="E3">
            <v>712659.80136000004</v>
          </cell>
          <cell r="J3">
            <v>136700.24</v>
          </cell>
          <cell r="K3">
            <v>16984.260000000002</v>
          </cell>
          <cell r="M3">
            <v>341134.8</v>
          </cell>
          <cell r="N3">
            <v>17623.199999999997</v>
          </cell>
          <cell r="Q3">
            <v>7126.5980136000007</v>
          </cell>
          <cell r="R3">
            <v>43652.162880000003</v>
          </cell>
          <cell r="S3">
            <v>1497.36</v>
          </cell>
        </row>
        <row r="4">
          <cell r="E4">
            <v>841560.54371999996</v>
          </cell>
          <cell r="K4">
            <v>20056.260000000002</v>
          </cell>
          <cell r="L4"/>
          <cell r="M4">
            <v>163757.29199999999</v>
          </cell>
          <cell r="N4">
            <v>17623.199999999997</v>
          </cell>
          <cell r="Q4">
            <v>8415.6054371999999</v>
          </cell>
          <cell r="R4">
            <v>39900.057719999997</v>
          </cell>
          <cell r="S4">
            <v>1497.36</v>
          </cell>
        </row>
        <row r="5">
          <cell r="E5">
            <v>1143108.0977999999</v>
          </cell>
          <cell r="K5">
            <v>27242.82</v>
          </cell>
          <cell r="M5">
            <v>127012.92</v>
          </cell>
          <cell r="N5">
            <v>17606.400000000001</v>
          </cell>
          <cell r="Q5">
            <v>11431.080977999998</v>
          </cell>
          <cell r="R5">
            <v>53166.047400000003</v>
          </cell>
          <cell r="S5">
            <v>1497.36</v>
          </cell>
        </row>
        <row r="6">
          <cell r="E6">
            <v>711910.31183999998</v>
          </cell>
          <cell r="K6">
            <v>61079.040000000001</v>
          </cell>
          <cell r="L6">
            <v>84684</v>
          </cell>
          <cell r="M6">
            <v>162976.83599999998</v>
          </cell>
          <cell r="N6">
            <v>17623.199999999997</v>
          </cell>
          <cell r="Q6">
            <v>7119.1031184000003</v>
          </cell>
          <cell r="R6">
            <v>39900.057719999997</v>
          </cell>
          <cell r="S6">
            <v>1497.36</v>
          </cell>
        </row>
        <row r="7">
          <cell r="E7">
            <v>733250.24471999996</v>
          </cell>
          <cell r="K7">
            <v>17475</v>
          </cell>
          <cell r="L7">
            <v>99252</v>
          </cell>
          <cell r="M7">
            <v>251760</v>
          </cell>
          <cell r="N7">
            <v>17623.199999999997</v>
          </cell>
          <cell r="Q7">
            <v>7332.5024471999996</v>
          </cell>
          <cell r="R7">
            <v>39900.057719999997</v>
          </cell>
          <cell r="S7">
            <v>1497.36</v>
          </cell>
        </row>
        <row r="8">
          <cell r="E8">
            <v>712659.80136000004</v>
          </cell>
          <cell r="K8">
            <v>5832.16</v>
          </cell>
          <cell r="M8">
            <v>125880</v>
          </cell>
          <cell r="N8">
            <v>17623.199999999997</v>
          </cell>
          <cell r="Q8">
            <v>7126.5980136000007</v>
          </cell>
          <cell r="R8">
            <v>41892.863999999994</v>
          </cell>
          <cell r="S8">
            <v>1497.36</v>
          </cell>
        </row>
      </sheetData>
      <sheetData sheetId="4"/>
      <sheetData sheetId="5">
        <row r="24">
          <cell r="E24">
            <v>7405280.3468400007</v>
          </cell>
          <cell r="F24">
            <v>116122.20728831997</v>
          </cell>
          <cell r="I24">
            <v>617106.69556999998</v>
          </cell>
          <cell r="K24">
            <v>1629161.6763048</v>
          </cell>
          <cell r="L24">
            <v>563201.28000000003</v>
          </cell>
          <cell r="M24">
            <v>1271711.6374799998</v>
          </cell>
          <cell r="N24">
            <v>184407.78011999998</v>
          </cell>
          <cell r="O24">
            <v>10000</v>
          </cell>
          <cell r="P24">
            <v>12141.251879999998</v>
          </cell>
          <cell r="Q24">
            <v>74052.803468400001</v>
          </cell>
          <cell r="R24">
            <v>2595.599999999999</v>
          </cell>
          <cell r="S24">
            <v>52476.240000000005</v>
          </cell>
          <cell r="T24">
            <v>31444.560000000009</v>
          </cell>
        </row>
      </sheetData>
      <sheetData sheetId="6">
        <row r="8">
          <cell r="E8">
            <v>1579411.9541999996</v>
          </cell>
          <cell r="I8">
            <v>131617.66284999999</v>
          </cell>
          <cell r="K8">
            <v>347470.62992399995</v>
          </cell>
          <cell r="L8">
            <v>86047.2</v>
          </cell>
          <cell r="M8">
            <v>419182.41408000002</v>
          </cell>
          <cell r="N8">
            <v>14735.386919999997</v>
          </cell>
          <cell r="P8">
            <v>36423.755639999996</v>
          </cell>
          <cell r="Q8">
            <v>15794.119541999999</v>
          </cell>
          <cell r="R8">
            <v>370.8</v>
          </cell>
          <cell r="T8">
            <v>4492.08</v>
          </cell>
        </row>
      </sheetData>
      <sheetData sheetId="7">
        <row r="11">
          <cell r="E11">
            <v>3010126.1443199995</v>
          </cell>
          <cell r="I11">
            <v>250843.84535999995</v>
          </cell>
          <cell r="K11">
            <v>662227.75175039994</v>
          </cell>
          <cell r="L11">
            <v>266971.68</v>
          </cell>
          <cell r="M11">
            <v>618851.38187999988</v>
          </cell>
          <cell r="N11">
            <v>44901.395999999993</v>
          </cell>
          <cell r="P11">
            <v>24282.503759999996</v>
          </cell>
          <cell r="Q11">
            <v>30101.261443199997</v>
          </cell>
          <cell r="R11">
            <v>865.2</v>
          </cell>
          <cell r="T11">
            <v>10481.52</v>
          </cell>
        </row>
      </sheetData>
      <sheetData sheetId="8">
        <row r="9">
          <cell r="E9">
            <v>1563464.09112</v>
          </cell>
          <cell r="I9">
            <v>130288.67425999999</v>
          </cell>
          <cell r="K9">
            <v>343962.10004639998</v>
          </cell>
          <cell r="L9">
            <v>92527.200000000012</v>
          </cell>
          <cell r="M9">
            <v>425470.12007999991</v>
          </cell>
          <cell r="N9">
            <v>28832.31048</v>
          </cell>
          <cell r="P9">
            <v>12141.251879999998</v>
          </cell>
          <cell r="Q9">
            <v>15634.6409112</v>
          </cell>
          <cell r="R9">
            <v>494.40000000000003</v>
          </cell>
          <cell r="T9">
            <v>5989.44</v>
          </cell>
        </row>
      </sheetData>
      <sheetData sheetId="9">
        <row r="8">
          <cell r="E8">
            <v>1709722.0627199998</v>
          </cell>
          <cell r="I8">
            <v>125810.17855999999</v>
          </cell>
          <cell r="K8">
            <v>332138.87139839999</v>
          </cell>
          <cell r="L8">
            <v>158734.08000000002</v>
          </cell>
          <cell r="M8">
            <v>544238.90711999999</v>
          </cell>
          <cell r="N8">
            <v>32402.1414</v>
          </cell>
          <cell r="P8">
            <v>12141.251879999998</v>
          </cell>
          <cell r="Q8">
            <v>17097.220627199997</v>
          </cell>
          <cell r="R8">
            <v>618</v>
          </cell>
          <cell r="T8">
            <v>6492.0792000000001</v>
          </cell>
        </row>
      </sheetData>
      <sheetData sheetId="10">
        <row r="31">
          <cell r="E31">
            <v>7255013.4550799988</v>
          </cell>
          <cell r="F31">
            <v>96050.008531839994</v>
          </cell>
          <cell r="I31">
            <v>604584.45458999998</v>
          </cell>
          <cell r="K31">
            <v>1596102.9601176002</v>
          </cell>
          <cell r="L31">
            <v>288055.2</v>
          </cell>
          <cell r="M31">
            <v>234229.57355999999</v>
          </cell>
          <cell r="N31">
            <v>22552.534919999998</v>
          </cell>
          <cell r="P31">
            <v>18000</v>
          </cell>
          <cell r="Q31">
            <v>10882.451879999999</v>
          </cell>
          <cell r="R31">
            <v>72550.134550799994</v>
          </cell>
          <cell r="S31">
            <v>3337.1999999999985</v>
          </cell>
          <cell r="T31">
            <v>0</v>
          </cell>
          <cell r="U31">
            <v>40409.510122800006</v>
          </cell>
        </row>
      </sheetData>
      <sheetData sheetId="11">
        <row r="5">
          <cell r="E5">
            <v>624779.32283999992</v>
          </cell>
          <cell r="I5">
            <v>52064.943569999996</v>
          </cell>
          <cell r="K5">
            <v>137451.45102479999</v>
          </cell>
          <cell r="L5">
            <v>57277.440000000002</v>
          </cell>
          <cell r="M5">
            <v>235432.60871999996</v>
          </cell>
          <cell r="N5">
            <v>14735.386919999997</v>
          </cell>
          <cell r="P5">
            <v>0</v>
          </cell>
          <cell r="Q5">
            <v>6247.793228399999</v>
          </cell>
          <cell r="R5">
            <v>123.60000000000001</v>
          </cell>
          <cell r="T5">
            <v>1497.36</v>
          </cell>
        </row>
      </sheetData>
      <sheetData sheetId="12">
        <row r="35">
          <cell r="E35">
            <v>8243760.8990399977</v>
          </cell>
          <cell r="F35">
            <v>177036.85</v>
          </cell>
          <cell r="I35">
            <v>686980.07492000004</v>
          </cell>
          <cell r="K35">
            <v>1813627.3977887996</v>
          </cell>
          <cell r="L35">
            <v>535632.48</v>
          </cell>
          <cell r="M35">
            <v>854340.00719999988</v>
          </cell>
          <cell r="N35">
            <v>96365.168159999987</v>
          </cell>
          <cell r="Q35">
            <v>82437.608990399967</v>
          </cell>
          <cell r="R35">
            <v>3955.199999999998</v>
          </cell>
          <cell r="S35">
            <v>52476.36</v>
          </cell>
          <cell r="T35">
            <v>47889.90683040001</v>
          </cell>
        </row>
      </sheetData>
      <sheetData sheetId="13">
        <row r="8">
          <cell r="E8">
            <v>1456547.6613599998</v>
          </cell>
          <cell r="I8">
            <v>121378.97178000001</v>
          </cell>
          <cell r="K8">
            <v>320440.4854992</v>
          </cell>
          <cell r="L8">
            <v>156702.24</v>
          </cell>
          <cell r="M8">
            <v>191711.33771999998</v>
          </cell>
          <cell r="N8">
            <v>19998.933239999998</v>
          </cell>
          <cell r="P8">
            <v>12141.251879999998</v>
          </cell>
          <cell r="Q8">
            <v>14565.4766136</v>
          </cell>
          <cell r="R8">
            <v>494.40000000000003</v>
          </cell>
          <cell r="T8">
            <v>5989.44</v>
          </cell>
        </row>
      </sheetData>
      <sheetData sheetId="14">
        <row r="15">
          <cell r="E15">
            <v>4043685.2839199994</v>
          </cell>
          <cell r="F15">
            <v>80673.38</v>
          </cell>
          <cell r="I15">
            <v>336973.77366000001</v>
          </cell>
          <cell r="K15">
            <v>889610.76246240002</v>
          </cell>
          <cell r="L15">
            <v>198590.4</v>
          </cell>
          <cell r="M15">
            <v>756285.49796999991</v>
          </cell>
          <cell r="N15">
            <v>44770.354919999998</v>
          </cell>
          <cell r="P15">
            <v>0</v>
          </cell>
          <cell r="Q15">
            <v>40436.852839200001</v>
          </cell>
          <cell r="R15">
            <v>1359.6</v>
          </cell>
          <cell r="T15">
            <v>16470.960000000003</v>
          </cell>
        </row>
      </sheetData>
      <sheetData sheetId="15">
        <row r="10">
          <cell r="E10">
            <v>2130464.8715999997</v>
          </cell>
          <cell r="I10">
            <v>177538.73929999996</v>
          </cell>
          <cell r="K10">
            <v>468702.27175199991</v>
          </cell>
          <cell r="L10">
            <v>99424.8</v>
          </cell>
          <cell r="M10">
            <v>427143.94643999997</v>
          </cell>
          <cell r="N10">
            <v>26526.314759999994</v>
          </cell>
          <cell r="P10">
            <v>12141.251879999998</v>
          </cell>
          <cell r="Q10">
            <v>21304.648715999996</v>
          </cell>
          <cell r="R10">
            <v>741.6</v>
          </cell>
          <cell r="T10">
            <v>8984.16</v>
          </cell>
        </row>
      </sheetData>
      <sheetData sheetId="16">
        <row r="29">
          <cell r="E29">
            <v>6721981.1743199984</v>
          </cell>
          <cell r="F29">
            <v>45997.23</v>
          </cell>
          <cell r="I29">
            <v>560165.0978600001</v>
          </cell>
          <cell r="K29">
            <v>1478835.8583503996</v>
          </cell>
          <cell r="L29">
            <v>391111.2</v>
          </cell>
          <cell r="M29">
            <v>425898.48971999995</v>
          </cell>
          <cell r="N29">
            <v>129235.83491999999</v>
          </cell>
          <cell r="P29">
            <v>48565.007519999992</v>
          </cell>
          <cell r="Q29">
            <v>67219.8117432</v>
          </cell>
          <cell r="R29">
            <v>3089.9999999999986</v>
          </cell>
          <cell r="T29">
            <v>37434.000000000007</v>
          </cell>
        </row>
      </sheetData>
      <sheetData sheetId="17">
        <row r="8">
          <cell r="E8">
            <v>1959219.98544</v>
          </cell>
          <cell r="I8">
            <v>163268.33211999998</v>
          </cell>
          <cell r="K8">
            <v>431028.39679679996</v>
          </cell>
          <cell r="L8">
            <v>148920.48000000001</v>
          </cell>
          <cell r="M8">
            <v>424722.39287999994</v>
          </cell>
          <cell r="N8">
            <v>25158.250919999999</v>
          </cell>
          <cell r="P8">
            <v>12141.251879999998</v>
          </cell>
          <cell r="Q8">
            <v>19592.199854400002</v>
          </cell>
          <cell r="R8">
            <v>494.40000000000003</v>
          </cell>
          <cell r="T8">
            <v>5989.44</v>
          </cell>
        </row>
      </sheetData>
      <sheetData sheetId="18">
        <row r="3">
          <cell r="E3">
            <v>624780.07811999996</v>
          </cell>
          <cell r="Q3">
            <v>6247.8007811999996</v>
          </cell>
          <cell r="R3">
            <v>123.60000000000001</v>
          </cell>
          <cell r="T3">
            <v>1497.36</v>
          </cell>
        </row>
        <row r="4">
          <cell r="E4">
            <v>512683.81224</v>
          </cell>
          <cell r="Q4">
            <v>5126.8381224000004</v>
          </cell>
          <cell r="R4">
            <v>123.60000000000001</v>
          </cell>
          <cell r="T4">
            <v>1497.36</v>
          </cell>
        </row>
        <row r="5">
          <cell r="E5">
            <v>500055.90827999997</v>
          </cell>
          <cell r="Q5">
            <v>5000.5590827999995</v>
          </cell>
          <cell r="R5">
            <v>123.60000000000001</v>
          </cell>
          <cell r="T5">
            <v>1497.36</v>
          </cell>
        </row>
        <row r="6">
          <cell r="E6">
            <v>99999.959999999992</v>
          </cell>
        </row>
        <row r="7">
          <cell r="E7">
            <v>99999.959999999992</v>
          </cell>
        </row>
        <row r="8">
          <cell r="E8">
            <v>99999.959999999992</v>
          </cell>
        </row>
        <row r="9">
          <cell r="E9">
            <v>99999.959999999992</v>
          </cell>
        </row>
        <row r="10">
          <cell r="E10">
            <v>99999.959999999992</v>
          </cell>
        </row>
        <row r="11">
          <cell r="E11">
            <v>99999.959999999992</v>
          </cell>
        </row>
        <row r="12">
          <cell r="E12">
            <v>99999.959999999992</v>
          </cell>
        </row>
        <row r="13">
          <cell r="E13">
            <v>401181.69995999994</v>
          </cell>
          <cell r="Q13">
            <v>4011.8169995999997</v>
          </cell>
          <cell r="R13">
            <v>123.60000000000001</v>
          </cell>
          <cell r="T13">
            <v>1497.36</v>
          </cell>
        </row>
        <row r="15">
          <cell r="I15">
            <v>169891.79154999999</v>
          </cell>
          <cell r="K15">
            <v>448514.32969199994</v>
          </cell>
          <cell r="L15">
            <v>122076</v>
          </cell>
          <cell r="M15">
            <v>614004.62423999992</v>
          </cell>
          <cell r="N15">
            <v>14735.386919999997</v>
          </cell>
          <cell r="P15">
            <v>12141.251879999998</v>
          </cell>
          <cell r="Q15">
            <v>27387.012185999993</v>
          </cell>
          <cell r="R15">
            <v>1359.6</v>
          </cell>
          <cell r="T15">
            <v>12989.437199999998</v>
          </cell>
        </row>
      </sheetData>
      <sheetData sheetId="19">
        <row r="7">
          <cell r="E7">
            <v>1407531.3740400001</v>
          </cell>
          <cell r="I7">
            <v>117294.28117</v>
          </cell>
          <cell r="K7">
            <v>309656.90228880005</v>
          </cell>
          <cell r="L7">
            <v>129867.84</v>
          </cell>
          <cell r="M7">
            <v>191711.33771999998</v>
          </cell>
          <cell r="N7">
            <v>11790.927839999998</v>
          </cell>
          <cell r="P7">
            <v>12141.251879999998</v>
          </cell>
          <cell r="Q7">
            <v>14075.313740400001</v>
          </cell>
          <cell r="R7">
            <v>494.40000000000003</v>
          </cell>
          <cell r="T7">
            <v>5989.44</v>
          </cell>
        </row>
      </sheetData>
      <sheetData sheetId="20">
        <row r="6">
          <cell r="E6">
            <v>1193818.2278400001</v>
          </cell>
          <cell r="I6">
            <v>91285.74231999999</v>
          </cell>
          <cell r="K6">
            <v>240994.35972479999</v>
          </cell>
          <cell r="L6">
            <v>26496</v>
          </cell>
          <cell r="M6">
            <v>406012.09319999994</v>
          </cell>
          <cell r="N6">
            <v>23568.764159999999</v>
          </cell>
          <cell r="Q6">
            <v>11938.1822784</v>
          </cell>
          <cell r="R6">
            <v>370.8</v>
          </cell>
          <cell r="T6">
            <v>3978.6131999999998</v>
          </cell>
        </row>
      </sheetData>
      <sheetData sheetId="21">
        <row r="8">
          <cell r="E8">
            <v>1583772.1856399998</v>
          </cell>
          <cell r="I8">
            <v>131981.01546999998</v>
          </cell>
          <cell r="K8">
            <v>348429.88084079995</v>
          </cell>
          <cell r="L8">
            <v>54417.600000000006</v>
          </cell>
          <cell r="M8">
            <v>235432.60871999996</v>
          </cell>
          <cell r="N8">
            <v>14735.386919999997</v>
          </cell>
          <cell r="Q8">
            <v>15837.721856399998</v>
          </cell>
          <cell r="R8">
            <v>618</v>
          </cell>
          <cell r="T8">
            <v>7486.7999999999993</v>
          </cell>
        </row>
      </sheetData>
      <sheetData sheetId="22">
        <row r="10">
          <cell r="E10">
            <v>2780242.4518799996</v>
          </cell>
          <cell r="F10">
            <v>89073.57</v>
          </cell>
          <cell r="I10">
            <v>231686.87099</v>
          </cell>
          <cell r="K10">
            <v>611653.33941360004</v>
          </cell>
          <cell r="L10">
            <v>150328.79999999999</v>
          </cell>
          <cell r="M10">
            <v>386179.44743999996</v>
          </cell>
          <cell r="N10">
            <v>23034.655319999998</v>
          </cell>
          <cell r="P10">
            <v>48555.314759999994</v>
          </cell>
          <cell r="Q10">
            <v>27802.424518799995</v>
          </cell>
          <cell r="R10">
            <v>865.2</v>
          </cell>
          <cell r="T10">
            <v>10481.52</v>
          </cell>
        </row>
      </sheetData>
      <sheetData sheetId="23">
        <row r="6">
          <cell r="E6">
            <v>290016.69431999995</v>
          </cell>
          <cell r="I6">
            <v>24168.057859999997</v>
          </cell>
          <cell r="K6">
            <v>63803.672750399986</v>
          </cell>
          <cell r="L6">
            <v>29916</v>
          </cell>
          <cell r="Q6">
            <v>2900.1669431999994</v>
          </cell>
          <cell r="R6">
            <v>123.60000000000001</v>
          </cell>
          <cell r="T6">
            <v>1497.36</v>
          </cell>
        </row>
      </sheetData>
      <sheetData sheetId="24">
        <row r="17">
          <cell r="E17">
            <v>2313689.3797199996</v>
          </cell>
          <cell r="F17">
            <v>225886.62819136001</v>
          </cell>
          <cell r="I17">
            <v>192807.44831000001</v>
          </cell>
          <cell r="K17">
            <v>509011.66353839985</v>
          </cell>
          <cell r="Q17">
            <v>23136.893797199999</v>
          </cell>
          <cell r="R17">
            <v>1730.3999999999996</v>
          </cell>
          <cell r="T17">
            <v>20950.233415200004</v>
          </cell>
        </row>
      </sheetData>
      <sheetData sheetId="25">
        <row r="20">
          <cell r="E20">
            <v>2500217.4825599999</v>
          </cell>
          <cell r="F20">
            <v>95836.89</v>
          </cell>
          <cell r="I20">
            <v>208351.45688000001</v>
          </cell>
          <cell r="K20">
            <v>550047.84616319987</v>
          </cell>
          <cell r="L20">
            <v>97459.200000000012</v>
          </cell>
          <cell r="Q20">
            <v>25002.174825599999</v>
          </cell>
          <cell r="R20">
            <v>1977.5999999999995</v>
          </cell>
          <cell r="T20">
            <v>23944.953415200005</v>
          </cell>
        </row>
      </sheetData>
      <sheetData sheetId="26">
        <row r="4">
          <cell r="E4">
            <v>382442.07023999997</v>
          </cell>
          <cell r="I4">
            <v>31870.172519999996</v>
          </cell>
          <cell r="K4">
            <v>84137.255452799989</v>
          </cell>
          <cell r="N4">
            <v>8299.268399999999</v>
          </cell>
          <cell r="Q4">
            <v>3824.4207023999998</v>
          </cell>
          <cell r="R4">
            <v>123.60000000000001</v>
          </cell>
          <cell r="T4">
            <v>1497.36</v>
          </cell>
        </row>
      </sheetData>
      <sheetData sheetId="27">
        <row r="5">
          <cell r="E5">
            <v>752431.46148000006</v>
          </cell>
          <cell r="F5">
            <v>98341.36</v>
          </cell>
          <cell r="I5">
            <v>62702.621790000005</v>
          </cell>
          <cell r="K5">
            <v>165534.92152560002</v>
          </cell>
          <cell r="L5">
            <v>76824</v>
          </cell>
          <cell r="M5">
            <v>191711.33771999998</v>
          </cell>
          <cell r="N5">
            <v>20624.305079999998</v>
          </cell>
          <cell r="Q5">
            <v>7524.3146148000005</v>
          </cell>
          <cell r="R5">
            <v>247.20000000000002</v>
          </cell>
          <cell r="T5">
            <v>2994.72</v>
          </cell>
        </row>
      </sheetData>
      <sheetData sheetId="28">
        <row r="49">
          <cell r="E49">
            <v>8621954.6048399936</v>
          </cell>
          <cell r="F49">
            <v>153756.47819136002</v>
          </cell>
          <cell r="I49">
            <v>718496.21706999966</v>
          </cell>
          <cell r="K49">
            <v>1896830.0130648001</v>
          </cell>
          <cell r="L49">
            <v>592675.19999999984</v>
          </cell>
          <cell r="M49">
            <v>191711.33771999998</v>
          </cell>
          <cell r="N49">
            <v>11790.927839999998</v>
          </cell>
          <cell r="P49">
            <v>270000</v>
          </cell>
          <cell r="Q49">
            <v>12141.251879999998</v>
          </cell>
          <cell r="R49">
            <v>337814.39999999991</v>
          </cell>
          <cell r="S49">
            <v>86219.546048400036</v>
          </cell>
          <cell r="T49">
            <v>5562.0000000000018</v>
          </cell>
          <cell r="V49">
            <v>67381.200000000012</v>
          </cell>
        </row>
      </sheetData>
      <sheetData sheetId="29">
        <row r="24">
          <cell r="E24">
            <v>4464543.6643199995</v>
          </cell>
          <cell r="F24">
            <v>131607.76070847997</v>
          </cell>
          <cell r="I24">
            <v>372045.30536</v>
          </cell>
          <cell r="K24">
            <v>982199.60615039966</v>
          </cell>
          <cell r="L24">
            <v>134899.20000000001</v>
          </cell>
          <cell r="M24">
            <v>569837.10863999999</v>
          </cell>
          <cell r="N24">
            <v>23568.764159999999</v>
          </cell>
          <cell r="P24">
            <v>11395.286999999998</v>
          </cell>
          <cell r="Q24">
            <v>44645.436643199995</v>
          </cell>
          <cell r="R24">
            <v>2595.599999999999</v>
          </cell>
          <cell r="T24">
            <v>31431.753415200008</v>
          </cell>
        </row>
      </sheetData>
      <sheetData sheetId="30">
        <row r="5">
          <cell r="E5">
            <v>988717.41071999993</v>
          </cell>
          <cell r="F5">
            <v>80673.38</v>
          </cell>
          <cell r="I5">
            <v>82393.117559999984</v>
          </cell>
          <cell r="K5">
            <v>217517.83035839998</v>
          </cell>
          <cell r="L5">
            <v>50810.399999999994</v>
          </cell>
          <cell r="M5">
            <v>229076.73870000002</v>
          </cell>
          <cell r="N5">
            <v>23568.764159999999</v>
          </cell>
          <cell r="Q5">
            <v>9887.1741072000004</v>
          </cell>
          <cell r="R5">
            <v>247.20000000000002</v>
          </cell>
          <cell r="S5">
            <v>53600.160000000003</v>
          </cell>
          <cell r="T5">
            <v>2994.72</v>
          </cell>
        </row>
      </sheetData>
      <sheetData sheetId="31">
        <row r="42">
          <cell r="E42">
            <v>7263952.8567599999</v>
          </cell>
          <cell r="F42">
            <v>139942.57999999999</v>
          </cell>
          <cell r="I42">
            <v>605329.40472999983</v>
          </cell>
          <cell r="K42">
            <v>1598069.6284872</v>
          </cell>
          <cell r="L42">
            <v>323671.51999999996</v>
          </cell>
          <cell r="M42">
            <v>567539.92451999988</v>
          </cell>
          <cell r="N42">
            <v>39954.941399999996</v>
          </cell>
          <cell r="Q42">
            <v>72639.528567600006</v>
          </cell>
          <cell r="R42">
            <v>4696.7999999999993</v>
          </cell>
          <cell r="S42">
            <v>41875.68</v>
          </cell>
          <cell r="T42">
            <v>56874.066830400014</v>
          </cell>
        </row>
      </sheetData>
      <sheetData sheetId="32"/>
      <sheetData sheetId="33">
        <row r="36">
          <cell r="E36">
            <v>6626527.8808800001</v>
          </cell>
          <cell r="F36">
            <v>70373.15499712</v>
          </cell>
          <cell r="I36">
            <v>552210.65673999989</v>
          </cell>
          <cell r="K36">
            <v>1457836.1337935994</v>
          </cell>
          <cell r="L36">
            <v>350747.99999999994</v>
          </cell>
          <cell r="M36">
            <v>424718.61647999997</v>
          </cell>
          <cell r="N36">
            <v>33991.62816</v>
          </cell>
          <cell r="P36">
            <v>36423.755639999996</v>
          </cell>
          <cell r="R36">
            <v>66265.278808799994</v>
          </cell>
          <cell r="S36">
            <v>3955.199999999998</v>
          </cell>
          <cell r="T36">
            <v>0</v>
          </cell>
          <cell r="U36">
            <v>47883.503538000019</v>
          </cell>
        </row>
      </sheetData>
      <sheetData sheetId="34">
        <row r="10">
          <cell r="E10">
            <v>1203768.03336</v>
          </cell>
          <cell r="F10">
            <v>45997.23</v>
          </cell>
          <cell r="I10">
            <v>100314.00278</v>
          </cell>
          <cell r="K10">
            <v>264828.96733919997</v>
          </cell>
          <cell r="L10">
            <v>19936.800000000003</v>
          </cell>
          <cell r="Q10">
            <v>12037.680333600001</v>
          </cell>
          <cell r="R10">
            <v>865.2</v>
          </cell>
          <cell r="T10">
            <v>10481.52</v>
          </cell>
        </row>
      </sheetData>
      <sheetData sheetId="35">
        <row r="43">
          <cell r="E43">
            <v>12688052.193360001</v>
          </cell>
          <cell r="F43">
            <v>267305.15819136001</v>
          </cell>
          <cell r="G43">
            <v>48741.96</v>
          </cell>
          <cell r="I43">
            <v>1057337.6827799999</v>
          </cell>
          <cell r="K43">
            <v>2791371.4825392002</v>
          </cell>
          <cell r="L43">
            <v>931001.76</v>
          </cell>
          <cell r="M43">
            <v>1111524.4281599999</v>
          </cell>
          <cell r="N43">
            <v>164408.59511999998</v>
          </cell>
          <cell r="P43">
            <v>48000</v>
          </cell>
          <cell r="Q43">
            <v>84988.763159999988</v>
          </cell>
          <cell r="R43">
            <v>126880.52193360002</v>
          </cell>
          <cell r="S43">
            <v>4820.3999999999996</v>
          </cell>
          <cell r="U43">
            <v>58397.040000000015</v>
          </cell>
        </row>
      </sheetData>
      <sheetData sheetId="36"/>
      <sheetData sheetId="37">
        <row r="11">
          <cell r="E11">
            <v>2313683.8409999995</v>
          </cell>
          <cell r="F11">
            <v>152964.83000000002</v>
          </cell>
          <cell r="I11">
            <v>192806.98674999998</v>
          </cell>
          <cell r="K11">
            <v>509010.44501999987</v>
          </cell>
          <cell r="L11">
            <v>110894.40000000001</v>
          </cell>
          <cell r="M11">
            <v>368292.90648000001</v>
          </cell>
          <cell r="N11">
            <v>11790.927839999998</v>
          </cell>
          <cell r="Q11">
            <v>23136.83841</v>
          </cell>
          <cell r="R11">
            <v>1112.4000000000001</v>
          </cell>
          <cell r="T11">
            <v>13476.240000000002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401SPORTS"/>
      <sheetName val="6353DISA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  <sheetName val="Sheet4"/>
      <sheetName val="Sheet5"/>
      <sheetName val="Sheet6"/>
    </sheetNames>
    <sheetDataSet>
      <sheetData sheetId="0"/>
      <sheetData sheetId="1"/>
      <sheetData sheetId="2"/>
      <sheetData sheetId="3"/>
      <sheetData sheetId="4">
        <row r="10">
          <cell r="E10">
            <v>2394520.2142799995</v>
          </cell>
          <cell r="I10">
            <v>182876.69118999998</v>
          </cell>
          <cell r="K10">
            <v>482794.46474159998</v>
          </cell>
          <cell r="M10">
            <v>423515.58132</v>
          </cell>
          <cell r="N10">
            <v>36323.806919999995</v>
          </cell>
          <cell r="R10">
            <v>23945.202142799997</v>
          </cell>
        </row>
      </sheetData>
      <sheetData sheetId="5">
        <row r="24">
          <cell r="J24">
            <v>19165.509999999998</v>
          </cell>
        </row>
      </sheetData>
      <sheetData sheetId="6"/>
      <sheetData sheetId="7">
        <row r="11">
          <cell r="J11">
            <v>0</v>
          </cell>
        </row>
      </sheetData>
      <sheetData sheetId="8">
        <row r="9">
          <cell r="J9">
            <v>61464.42</v>
          </cell>
        </row>
      </sheetData>
      <sheetData sheetId="9"/>
      <sheetData sheetId="10">
        <row r="31">
          <cell r="J31">
            <v>61087.759999999995</v>
          </cell>
        </row>
      </sheetData>
      <sheetData sheetId="11"/>
      <sheetData sheetId="12">
        <row r="35">
          <cell r="J35">
            <v>54093.710000000006</v>
          </cell>
        </row>
      </sheetData>
      <sheetData sheetId="13">
        <row r="8">
          <cell r="J8">
            <v>55670.98</v>
          </cell>
        </row>
      </sheetData>
      <sheetData sheetId="14">
        <row r="15">
          <cell r="J15">
            <v>24967.35</v>
          </cell>
        </row>
      </sheetData>
      <sheetData sheetId="15">
        <row r="10">
          <cell r="J10">
            <v>0</v>
          </cell>
        </row>
      </sheetData>
      <sheetData sheetId="16">
        <row r="29">
          <cell r="J29">
            <v>55252.46</v>
          </cell>
        </row>
      </sheetData>
      <sheetData sheetId="17">
        <row r="8">
          <cell r="J8">
            <v>74902.14</v>
          </cell>
        </row>
      </sheetData>
      <sheetData sheetId="18">
        <row r="15">
          <cell r="J15">
            <v>19983.169999999998</v>
          </cell>
        </row>
      </sheetData>
      <sheetData sheetId="19">
        <row r="7">
          <cell r="J7">
            <v>9580.7800000000007</v>
          </cell>
        </row>
      </sheetData>
      <sheetData sheetId="20">
        <row r="6">
          <cell r="J6">
            <v>0</v>
          </cell>
        </row>
      </sheetData>
      <sheetData sheetId="21">
        <row r="8">
          <cell r="J8">
            <v>0</v>
          </cell>
        </row>
      </sheetData>
      <sheetData sheetId="22">
        <row r="10">
          <cell r="J10">
            <v>0</v>
          </cell>
        </row>
      </sheetData>
      <sheetData sheetId="23">
        <row r="6">
          <cell r="J6">
            <v>0</v>
          </cell>
        </row>
      </sheetData>
      <sheetData sheetId="24"/>
      <sheetData sheetId="25"/>
      <sheetData sheetId="26"/>
      <sheetData sheetId="27"/>
      <sheetData sheetId="28">
        <row r="49">
          <cell r="J49">
            <v>72761.25</v>
          </cell>
        </row>
      </sheetData>
      <sheetData sheetId="29">
        <row r="24">
          <cell r="J24">
            <v>61464.42</v>
          </cell>
        </row>
      </sheetData>
      <sheetData sheetId="30">
        <row r="5">
          <cell r="J5">
            <v>50420.86</v>
          </cell>
        </row>
      </sheetData>
      <sheetData sheetId="31">
        <row r="42">
          <cell r="J42">
            <v>24967.35</v>
          </cell>
        </row>
      </sheetData>
      <sheetData sheetId="32"/>
      <sheetData sheetId="33"/>
      <sheetData sheetId="34">
        <row r="10">
          <cell r="J10">
            <v>8261.92</v>
          </cell>
        </row>
      </sheetData>
      <sheetData sheetId="35">
        <row r="43">
          <cell r="J43">
            <v>234692.64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401SPORTS"/>
      <sheetName val="6353DISA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E10">
            <v>2392428.2025600001</v>
          </cell>
          <cell r="L10">
            <v>156464.64000000001</v>
          </cell>
          <cell r="Q10">
            <v>618</v>
          </cell>
          <cell r="T10">
            <v>9486.7991999999995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5">
          <cell r="E5">
            <v>751714.17696000007</v>
          </cell>
        </row>
      </sheetData>
      <sheetData sheetId="28">
        <row r="49">
          <cell r="E49">
            <v>8613735.3916799966</v>
          </cell>
        </row>
      </sheetData>
      <sheetData sheetId="29">
        <row r="24">
          <cell r="E24">
            <v>4460287.6646400001</v>
          </cell>
        </row>
      </sheetData>
      <sheetData sheetId="30">
        <row r="5">
          <cell r="E5">
            <v>987774.87743999995</v>
          </cell>
        </row>
      </sheetData>
      <sheetData sheetId="31">
        <row r="42">
          <cell r="E42">
            <v>7257028.2115200032</v>
          </cell>
        </row>
      </sheetData>
      <sheetData sheetId="32" refreshError="1"/>
      <sheetData sheetId="33">
        <row r="36">
          <cell r="E36">
            <v>6620210.8857600009</v>
          </cell>
        </row>
      </sheetData>
      <sheetData sheetId="34">
        <row r="10">
          <cell r="E10">
            <v>1202620.4947200001</v>
          </cell>
        </row>
      </sheetData>
      <sheetData sheetId="35">
        <row r="43">
          <cell r="E43">
            <v>12671627.332800003</v>
          </cell>
        </row>
      </sheetData>
      <sheetData sheetId="36" refreshError="1"/>
      <sheetData sheetId="37">
        <row r="11">
          <cell r="E11">
            <v>2311478.2319999998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401SPORTS"/>
      <sheetName val="6353DISA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  <sheetName val="Sheet4"/>
      <sheetName val="Sheet5"/>
      <sheetName val="Sheet6"/>
    </sheetNames>
    <sheetDataSet>
      <sheetData sheetId="0">
        <row r="4">
          <cell r="E4">
            <v>258258</v>
          </cell>
        </row>
      </sheetData>
      <sheetData sheetId="1">
        <row r="3">
          <cell r="M3">
            <v>107607.36000000002</v>
          </cell>
        </row>
      </sheetData>
      <sheetData sheetId="2">
        <row r="62">
          <cell r="E62">
            <v>7022058.7800000031</v>
          </cell>
        </row>
      </sheetData>
      <sheetData sheetId="3">
        <row r="3">
          <cell r="E3">
            <v>339685.32</v>
          </cell>
        </row>
      </sheetData>
      <sheetData sheetId="4">
        <row r="10">
          <cell r="E10">
            <v>1009930.03</v>
          </cell>
        </row>
      </sheetData>
      <sheetData sheetId="5">
        <row r="24">
          <cell r="E24">
            <v>3039747.2099999995</v>
          </cell>
        </row>
      </sheetData>
      <sheetData sheetId="6">
        <row r="8">
          <cell r="E8">
            <v>752817.9</v>
          </cell>
        </row>
      </sheetData>
      <sheetData sheetId="7">
        <row r="11">
          <cell r="E11">
            <v>1354190.2899999998</v>
          </cell>
        </row>
      </sheetData>
      <sheetData sheetId="8">
        <row r="9">
          <cell r="E9">
            <v>745216.44000000006</v>
          </cell>
        </row>
      </sheetData>
      <sheetData sheetId="9">
        <row r="8">
          <cell r="E8">
            <v>819600.6</v>
          </cell>
        </row>
      </sheetData>
      <sheetData sheetId="10">
        <row r="31">
          <cell r="E31">
            <v>2999263.3499199999</v>
          </cell>
        </row>
      </sheetData>
      <sheetData sheetId="11">
        <row r="5">
          <cell r="E5">
            <v>297797.58</v>
          </cell>
        </row>
      </sheetData>
      <sheetData sheetId="12">
        <row r="35">
          <cell r="E35">
            <v>3561061.5599999996</v>
          </cell>
        </row>
      </sheetData>
      <sheetData sheetId="13">
        <row r="8">
          <cell r="E8">
            <v>694255.32</v>
          </cell>
        </row>
      </sheetData>
      <sheetData sheetId="14">
        <row r="15">
          <cell r="E15">
            <v>1654355.0799999996</v>
          </cell>
        </row>
      </sheetData>
      <sheetData sheetId="15">
        <row r="10">
          <cell r="E10">
            <v>700462.13</v>
          </cell>
        </row>
      </sheetData>
      <sheetData sheetId="16">
        <row r="29">
          <cell r="E29">
            <v>2732457.41</v>
          </cell>
          <cell r="S29">
            <v>0</v>
          </cell>
        </row>
      </sheetData>
      <sheetData sheetId="17">
        <row r="8">
          <cell r="E8">
            <v>838238.94000000006</v>
          </cell>
        </row>
      </sheetData>
      <sheetData sheetId="18">
        <row r="3">
          <cell r="E3">
            <v>297797.94</v>
          </cell>
        </row>
      </sheetData>
      <sheetData sheetId="19">
        <row r="7">
          <cell r="E7">
            <v>670891.98</v>
          </cell>
        </row>
      </sheetData>
      <sheetData sheetId="20">
        <row r="6">
          <cell r="E6">
            <v>434561.34</v>
          </cell>
        </row>
      </sheetData>
      <sheetData sheetId="21">
        <row r="8">
          <cell r="E8">
            <v>754896.17999999993</v>
          </cell>
        </row>
      </sheetData>
      <sheetData sheetId="22">
        <row r="10">
          <cell r="E10">
            <v>1219618.7999999998</v>
          </cell>
        </row>
      </sheetData>
      <sheetData sheetId="23">
        <row r="6">
          <cell r="E6">
            <v>138234.84</v>
          </cell>
        </row>
      </sheetData>
      <sheetData sheetId="24">
        <row r="17">
          <cell r="E17">
            <v>944044.25999999978</v>
          </cell>
          <cell r="L17">
            <v>0</v>
          </cell>
        </row>
      </sheetData>
      <sheetData sheetId="25">
        <row r="20">
          <cell r="E20">
            <v>1047547.7999999998</v>
          </cell>
        </row>
      </sheetData>
      <sheetData sheetId="26">
        <row r="4">
          <cell r="E4">
            <v>30381.48</v>
          </cell>
        </row>
      </sheetData>
      <sheetData sheetId="27">
        <row r="5">
          <cell r="E5">
            <v>358642.26</v>
          </cell>
          <cell r="J5">
            <v>0</v>
          </cell>
        </row>
      </sheetData>
      <sheetData sheetId="28">
        <row r="49">
          <cell r="E49">
            <v>3994895.430000003</v>
          </cell>
        </row>
      </sheetData>
      <sheetData sheetId="29">
        <row r="24">
          <cell r="E24">
            <v>1864430.3399999999</v>
          </cell>
        </row>
      </sheetData>
      <sheetData sheetId="30">
        <row r="5">
          <cell r="E5">
            <v>335865.63</v>
          </cell>
        </row>
      </sheetData>
      <sheetData sheetId="31">
        <row r="42">
          <cell r="E42">
            <v>3345029.3099999996</v>
          </cell>
        </row>
      </sheetData>
      <sheetData sheetId="32"/>
      <sheetData sheetId="33">
        <row r="36">
          <cell r="E36">
            <v>3045679.8099999996</v>
          </cell>
        </row>
      </sheetData>
      <sheetData sheetId="34">
        <row r="10">
          <cell r="E10">
            <v>272996.57</v>
          </cell>
        </row>
      </sheetData>
      <sheetData sheetId="35">
        <row r="43">
          <cell r="E43">
            <v>5511651.7999999989</v>
          </cell>
        </row>
      </sheetData>
      <sheetData sheetId="36"/>
      <sheetData sheetId="37">
        <row r="11">
          <cell r="E11">
            <v>1051673.1399999999</v>
          </cell>
          <cell r="J11">
            <v>0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401SPORTS"/>
      <sheetName val="6353DISA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  <sheetName val="Sheet4"/>
      <sheetName val="Sheet5"/>
      <sheetName val="Sheet6"/>
    </sheetNames>
    <sheetDataSet>
      <sheetData sheetId="0">
        <row r="4">
          <cell r="E4">
            <v>722433.75395999989</v>
          </cell>
        </row>
      </sheetData>
      <sheetData sheetId="1">
        <row r="5">
          <cell r="E5">
            <v>903041.09100000001</v>
          </cell>
        </row>
      </sheetData>
      <sheetData sheetId="2">
        <row r="62">
          <cell r="E62">
            <v>20360672.707800008</v>
          </cell>
        </row>
      </sheetData>
      <sheetData sheetId="3">
        <row r="3">
          <cell r="E3">
            <v>712659.80136000004</v>
          </cell>
        </row>
      </sheetData>
      <sheetData sheetId="4">
        <row r="10">
          <cell r="E10">
            <v>2293067.2145999996</v>
          </cell>
        </row>
      </sheetData>
      <sheetData sheetId="5">
        <row r="24">
          <cell r="E24">
            <v>6990291.7508399989</v>
          </cell>
        </row>
      </sheetData>
      <sheetData sheetId="6">
        <row r="8">
          <cell r="E8">
            <v>1515451.31916</v>
          </cell>
        </row>
      </sheetData>
      <sheetData sheetId="7">
        <row r="10">
          <cell r="E10">
            <v>2884470.7142399997</v>
          </cell>
        </row>
      </sheetData>
      <sheetData sheetId="8">
        <row r="7">
          <cell r="E7">
            <v>1133395.70052</v>
          </cell>
        </row>
      </sheetData>
      <sheetData sheetId="9">
        <row r="8">
          <cell r="E8">
            <v>1668468.6554399999</v>
          </cell>
        </row>
      </sheetData>
      <sheetData sheetId="10">
        <row r="33">
          <cell r="E33">
            <v>7171515.5222399989</v>
          </cell>
        </row>
      </sheetData>
      <sheetData sheetId="11">
        <row r="5">
          <cell r="E5">
            <v>588857.07311999996</v>
          </cell>
        </row>
      </sheetData>
      <sheetData sheetId="12">
        <row r="33">
          <cell r="E33">
            <v>7425150.7565999981</v>
          </cell>
        </row>
      </sheetData>
      <sheetData sheetId="13">
        <row r="9">
          <cell r="E9">
            <v>1407292.4537999998</v>
          </cell>
        </row>
      </sheetData>
      <sheetData sheetId="14">
        <row r="15">
          <cell r="E15">
            <v>3827736.5074799992</v>
          </cell>
        </row>
      </sheetData>
      <sheetData sheetId="15">
        <row r="10">
          <cell r="E10">
            <v>2045615.5834799998</v>
          </cell>
        </row>
      </sheetData>
      <sheetData sheetId="16">
        <row r="29">
          <cell r="E29">
            <v>6429434.2919999985</v>
          </cell>
        </row>
      </sheetData>
      <sheetData sheetId="17">
        <row r="8">
          <cell r="E8">
            <v>1868106.7826399999</v>
          </cell>
        </row>
      </sheetData>
      <sheetData sheetId="18">
        <row r="3">
          <cell r="E3">
            <v>603652.25303999998</v>
          </cell>
        </row>
      </sheetData>
      <sheetData sheetId="19">
        <row r="7">
          <cell r="E7">
            <v>1355040.2952000001</v>
          </cell>
        </row>
      </sheetData>
      <sheetData sheetId="20">
        <row r="6">
          <cell r="E6">
            <v>1150705.8384</v>
          </cell>
        </row>
      </sheetData>
      <sheetData sheetId="21">
        <row r="9">
          <cell r="E9">
            <v>1681659.6206400001</v>
          </cell>
        </row>
      </sheetData>
      <sheetData sheetId="22">
        <row r="10">
          <cell r="E10">
            <v>2680797.62952</v>
          </cell>
        </row>
      </sheetData>
      <sheetData sheetId="23">
        <row r="7">
          <cell r="E7">
            <v>431654.47860000003</v>
          </cell>
        </row>
      </sheetData>
      <sheetData sheetId="24">
        <row r="21">
          <cell r="E21">
            <v>2894863.4929199996</v>
          </cell>
        </row>
      </sheetData>
      <sheetData sheetId="25">
        <row r="20">
          <cell r="E20">
            <v>2450335.77024</v>
          </cell>
        </row>
      </sheetData>
      <sheetData sheetId="26">
        <row r="4">
          <cell r="E4">
            <v>382442.07023999997</v>
          </cell>
        </row>
      </sheetData>
      <sheetData sheetId="27">
        <row r="5">
          <cell r="E5">
            <v>726986.95943999989</v>
          </cell>
        </row>
      </sheetData>
      <sheetData sheetId="28">
        <row r="51">
          <cell r="E51">
            <v>8645590.3371599913</v>
          </cell>
        </row>
      </sheetData>
      <sheetData sheetId="29">
        <row r="26">
          <cell r="E26">
            <v>4639860.3908399995</v>
          </cell>
        </row>
      </sheetData>
      <sheetData sheetId="30">
        <row r="5">
          <cell r="E5">
            <v>974495.11067999993</v>
          </cell>
        </row>
      </sheetData>
      <sheetData sheetId="31">
        <row r="42">
          <cell r="E42">
            <v>7026178.6282799961</v>
          </cell>
        </row>
      </sheetData>
      <sheetData sheetId="32"/>
      <sheetData sheetId="33">
        <row r="34">
          <cell r="E34">
            <v>5893180.4567999989</v>
          </cell>
          <cell r="Q34">
            <v>0</v>
          </cell>
        </row>
      </sheetData>
      <sheetData sheetId="34">
        <row r="10">
          <cell r="E10">
            <v>1188667.5944400001</v>
          </cell>
        </row>
      </sheetData>
      <sheetData sheetId="35">
        <row r="43">
          <cell r="E43">
            <v>12367058.570999999</v>
          </cell>
        </row>
      </sheetData>
      <sheetData sheetId="36"/>
      <sheetData sheetId="37">
        <row r="12">
          <cell r="E12">
            <v>2356749.9065999999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353DISA"/>
      <sheetName val="6401SPORTS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</sheetNames>
    <sheetDataSet>
      <sheetData sheetId="0">
        <row r="4">
          <cell r="R4">
            <v>5351.1138000000001</v>
          </cell>
        </row>
      </sheetData>
      <sheetData sheetId="1">
        <row r="3">
          <cell r="E3">
            <v>669639.53879999998</v>
          </cell>
        </row>
      </sheetData>
      <sheetData sheetId="2">
        <row r="62">
          <cell r="E62">
            <v>15118075.567800041</v>
          </cell>
        </row>
      </sheetData>
      <sheetData sheetId="3">
        <row r="3">
          <cell r="E3">
            <v>696797.1666</v>
          </cell>
          <cell r="K3">
            <v>30319.68</v>
          </cell>
          <cell r="Q3">
            <v>6967.9716660000004</v>
          </cell>
          <cell r="S3">
            <v>1497.36</v>
          </cell>
        </row>
        <row r="4">
          <cell r="E4">
            <v>631367.65619999997</v>
          </cell>
          <cell r="K4">
            <v>29641.68</v>
          </cell>
          <cell r="L4">
            <v>45372</v>
          </cell>
          <cell r="M4">
            <v>313702.64280000003</v>
          </cell>
          <cell r="Q4">
            <v>6313.6765619999996</v>
          </cell>
        </row>
        <row r="5">
          <cell r="E5">
            <v>1128440.5164000001</v>
          </cell>
          <cell r="K5">
            <v>52978.44</v>
          </cell>
          <cell r="Q5">
            <v>11284.405164000002</v>
          </cell>
        </row>
        <row r="6">
          <cell r="E6">
            <v>496899.77639999997</v>
          </cell>
          <cell r="K6">
            <v>23328.639999999999</v>
          </cell>
          <cell r="Q6">
            <v>4968.9977639999997</v>
          </cell>
        </row>
        <row r="7">
          <cell r="E7">
            <v>761592.66119999997</v>
          </cell>
          <cell r="Q7">
            <v>7615.9266120000002</v>
          </cell>
        </row>
        <row r="8">
          <cell r="E8">
            <v>796088.18160000001</v>
          </cell>
          <cell r="K8">
            <v>34992.959999999999</v>
          </cell>
          <cell r="Q8">
            <v>7960.8818160000001</v>
          </cell>
        </row>
      </sheetData>
      <sheetData sheetId="4">
        <row r="3">
          <cell r="E3">
            <v>528329.80079999997</v>
          </cell>
          <cell r="I3">
            <v>44027.483399999997</v>
          </cell>
          <cell r="K3">
            <v>116232.556176</v>
          </cell>
          <cell r="R3">
            <v>5283.2980079999998</v>
          </cell>
          <cell r="T3">
            <v>1497.36</v>
          </cell>
        </row>
        <row r="4">
          <cell r="E4">
            <v>298975.95899999997</v>
          </cell>
          <cell r="I4">
            <v>24914.663249999998</v>
          </cell>
          <cell r="K4">
            <v>65774.710979999989</v>
          </cell>
          <cell r="R4">
            <v>2989.7595899999997</v>
          </cell>
          <cell r="T4">
            <v>1497.36</v>
          </cell>
        </row>
        <row r="5">
          <cell r="E5">
            <v>314338.03019999998</v>
          </cell>
          <cell r="I5">
            <v>26194.835849999999</v>
          </cell>
          <cell r="K5">
            <v>69154.366643999994</v>
          </cell>
          <cell r="R5">
            <v>3143.380302</v>
          </cell>
          <cell r="T5">
            <v>1497.36</v>
          </cell>
        </row>
        <row r="6">
          <cell r="E6">
            <v>106499.95739999998</v>
          </cell>
          <cell r="I6">
            <v>8874.9964499999987</v>
          </cell>
          <cell r="R6">
            <v>1064.9995739999999</v>
          </cell>
          <cell r="T6">
            <v>1064.9995739999999</v>
          </cell>
        </row>
        <row r="7">
          <cell r="E7">
            <v>106499.95739999998</v>
          </cell>
          <cell r="I7">
            <v>8874.9964499999987</v>
          </cell>
          <cell r="R7">
            <v>1064.9995739999999</v>
          </cell>
          <cell r="T7">
            <v>1064.9995739999999</v>
          </cell>
        </row>
        <row r="8">
          <cell r="E8">
            <v>298975.98456000001</v>
          </cell>
          <cell r="I8">
            <v>24914.665380000002</v>
          </cell>
          <cell r="K8">
            <v>65774.71660320001</v>
          </cell>
          <cell r="R8">
            <v>2989.7598456000001</v>
          </cell>
          <cell r="T8">
            <v>1497.36</v>
          </cell>
        </row>
        <row r="9">
          <cell r="E9">
            <v>392711.38020000001</v>
          </cell>
          <cell r="I9">
            <v>32725.948350000002</v>
          </cell>
          <cell r="K9">
            <v>86396.503643999997</v>
          </cell>
          <cell r="Q9">
            <v>105</v>
          </cell>
          <cell r="R9">
            <v>3927.1138020000003</v>
          </cell>
          <cell r="T9">
            <v>1497.36</v>
          </cell>
        </row>
      </sheetData>
      <sheetData sheetId="5">
        <row r="29">
          <cell r="E29">
            <v>7211208.7617479991</v>
          </cell>
          <cell r="I29">
            <v>600934.06347899989</v>
          </cell>
          <cell r="J29">
            <v>13727.73</v>
          </cell>
          <cell r="K29">
            <v>1586465.9275845601</v>
          </cell>
          <cell r="L29">
            <v>380796</v>
          </cell>
          <cell r="M29">
            <v>1274104.4399999997</v>
          </cell>
          <cell r="N29">
            <v>161688</v>
          </cell>
          <cell r="O29">
            <v>10000</v>
          </cell>
          <cell r="P29">
            <v>21786.48</v>
          </cell>
          <cell r="Q29">
            <v>72112.087617479992</v>
          </cell>
          <cell r="R29">
            <v>2520</v>
          </cell>
          <cell r="S29">
            <v>41875.68</v>
          </cell>
          <cell r="T29">
            <v>35906.786952000009</v>
          </cell>
        </row>
      </sheetData>
      <sheetData sheetId="6">
        <row r="8">
          <cell r="E8">
            <v>1358202.0325319998</v>
          </cell>
          <cell r="I8">
            <v>113183.50271099998</v>
          </cell>
          <cell r="K8">
            <v>298804.44715703995</v>
          </cell>
          <cell r="P8">
            <v>10893.24</v>
          </cell>
          <cell r="Q8">
            <v>13582.020325319998</v>
          </cell>
          <cell r="T8">
            <v>4492.08</v>
          </cell>
        </row>
      </sheetData>
      <sheetData sheetId="7">
        <row r="10">
          <cell r="E10">
            <v>2622879.5841539996</v>
          </cell>
          <cell r="I10">
            <v>218573.29867949997</v>
          </cell>
          <cell r="K10">
            <v>577033.50851388008</v>
          </cell>
          <cell r="P10">
            <v>21786.48</v>
          </cell>
          <cell r="Q10">
            <v>26228.795841539999</v>
          </cell>
          <cell r="T10">
            <v>10481.52</v>
          </cell>
        </row>
      </sheetData>
      <sheetData sheetId="8">
        <row r="7">
          <cell r="E7">
            <v>1016897.4074159999</v>
          </cell>
          <cell r="I7">
            <v>84741.450618000003</v>
          </cell>
          <cell r="K7">
            <v>223717.42963152</v>
          </cell>
          <cell r="P7">
            <v>10893.24</v>
          </cell>
          <cell r="Q7">
            <v>10168.97407416</v>
          </cell>
          <cell r="T7">
            <v>4492.08</v>
          </cell>
        </row>
      </sheetData>
      <sheetData sheetId="9">
        <row r="8">
          <cell r="E8">
            <v>1388780.0464919999</v>
          </cell>
          <cell r="I8">
            <v>108241.670541</v>
          </cell>
          <cell r="K8">
            <v>285758.01022823999</v>
          </cell>
          <cell r="P8">
            <v>10893.24</v>
          </cell>
          <cell r="Q8">
            <v>13887.800464919999</v>
          </cell>
          <cell r="T8">
            <v>5390.8799999999992</v>
          </cell>
        </row>
      </sheetData>
      <sheetData sheetId="10">
        <row r="37">
          <cell r="E37">
            <v>7899024.8068504203</v>
          </cell>
          <cell r="I37">
            <v>658252.06723753491</v>
          </cell>
          <cell r="J37">
            <v>11712.34</v>
          </cell>
          <cell r="K37">
            <v>1737785.4575070918</v>
          </cell>
          <cell r="L37">
            <v>215136</v>
          </cell>
          <cell r="M37">
            <v>527021.03759999992</v>
          </cell>
          <cell r="N37">
            <v>21600</v>
          </cell>
          <cell r="P37">
            <v>10893.24</v>
          </cell>
          <cell r="Q37">
            <v>78990.248068504196</v>
          </cell>
          <cell r="R37">
            <v>3465</v>
          </cell>
          <cell r="S37">
            <v>5037.24</v>
          </cell>
          <cell r="T37">
            <v>48205.220430120011</v>
          </cell>
        </row>
      </sheetData>
      <sheetData sheetId="11">
        <row r="5">
          <cell r="E5">
            <v>541604.64240000001</v>
          </cell>
          <cell r="I5">
            <v>45133.720200000003</v>
          </cell>
          <cell r="K5">
            <v>119153.021328</v>
          </cell>
          <cell r="Q5">
            <v>5416.0464240000001</v>
          </cell>
          <cell r="T5">
            <v>1497.36</v>
          </cell>
        </row>
      </sheetData>
      <sheetData sheetId="12">
        <row r="31">
          <cell r="E31">
            <v>6381020.01798</v>
          </cell>
          <cell r="I31">
            <v>531751.66816500004</v>
          </cell>
          <cell r="J31">
            <v>88304.99</v>
          </cell>
          <cell r="K31">
            <v>1403824.4039555995</v>
          </cell>
          <cell r="L31">
            <v>389688.00000000006</v>
          </cell>
          <cell r="M31">
            <v>741949.43999999994</v>
          </cell>
          <cell r="N31">
            <v>66192</v>
          </cell>
          <cell r="O31">
            <v>5000</v>
          </cell>
          <cell r="P31">
            <v>10893.24</v>
          </cell>
          <cell r="Q31">
            <v>63810.200179799998</v>
          </cell>
          <cell r="R31">
            <v>2835</v>
          </cell>
          <cell r="S31">
            <v>0</v>
          </cell>
          <cell r="T31">
            <v>39414.650604900009</v>
          </cell>
        </row>
      </sheetData>
      <sheetData sheetId="13">
        <row r="9">
          <cell r="E9">
            <v>1262641.2516000001</v>
          </cell>
          <cell r="I9">
            <v>105220.10429999999</v>
          </cell>
          <cell r="K9">
            <v>277781.07535200001</v>
          </cell>
          <cell r="L9">
            <v>113407.2</v>
          </cell>
          <cell r="M9">
            <v>166501.44</v>
          </cell>
          <cell r="N9">
            <v>16296</v>
          </cell>
          <cell r="P9">
            <v>10893.24</v>
          </cell>
          <cell r="Q9">
            <v>12626.412516</v>
          </cell>
          <cell r="R9">
            <v>420</v>
          </cell>
          <cell r="T9">
            <v>5989.44</v>
          </cell>
        </row>
      </sheetData>
      <sheetData sheetId="14">
        <row r="15">
          <cell r="E15">
            <v>3489723.1711800001</v>
          </cell>
          <cell r="I15">
            <v>290810.26426500006</v>
          </cell>
          <cell r="K15">
            <v>767739.09765959973</v>
          </cell>
          <cell r="L15">
            <v>139094.39999999999</v>
          </cell>
          <cell r="M15">
            <v>637652.30040000007</v>
          </cell>
          <cell r="N15">
            <v>40296</v>
          </cell>
          <cell r="P15">
            <v>0</v>
          </cell>
          <cell r="Q15">
            <v>34897.231711799992</v>
          </cell>
          <cell r="R15">
            <v>1155</v>
          </cell>
          <cell r="T15">
            <v>16470.960000000003</v>
          </cell>
        </row>
      </sheetData>
      <sheetData sheetId="15">
        <row r="10">
          <cell r="E10">
            <v>1888435.2942000001</v>
          </cell>
          <cell r="I10">
            <v>157369.60785</v>
          </cell>
          <cell r="J10">
            <v>0</v>
          </cell>
          <cell r="K10">
            <v>415455.76472400001</v>
          </cell>
          <cell r="L10">
            <v>113438.39999999999</v>
          </cell>
          <cell r="M10">
            <v>370974.71999999997</v>
          </cell>
          <cell r="N10">
            <v>12000</v>
          </cell>
          <cell r="P10">
            <v>10893.24</v>
          </cell>
          <cell r="Q10">
            <v>18884.352942000001</v>
          </cell>
          <cell r="R10">
            <v>630</v>
          </cell>
          <cell r="T10">
            <v>8984.16</v>
          </cell>
        </row>
      </sheetData>
      <sheetData sheetId="16">
        <row r="29">
          <cell r="E29">
            <v>5715069.3341639983</v>
          </cell>
          <cell r="I29">
            <v>476255.77784700011</v>
          </cell>
          <cell r="J29">
            <v>38721.480000000003</v>
          </cell>
          <cell r="K29">
            <v>1257315.2535160801</v>
          </cell>
          <cell r="L29">
            <v>240191.99999999997</v>
          </cell>
          <cell r="M29">
            <v>369259.31999999995</v>
          </cell>
          <cell r="N29">
            <v>30696</v>
          </cell>
          <cell r="P29">
            <v>32679.72</v>
          </cell>
          <cell r="Q29">
            <v>57150.693341640006</v>
          </cell>
          <cell r="R29">
            <v>2625</v>
          </cell>
          <cell r="S29">
            <v>4136.88</v>
          </cell>
          <cell r="T29">
            <v>37102.651566240005</v>
          </cell>
        </row>
      </sheetData>
      <sheetData sheetId="17">
        <row r="8">
          <cell r="E8">
            <v>1868322.3858000003</v>
          </cell>
          <cell r="I8">
            <v>155693.53215000001</v>
          </cell>
          <cell r="K8">
            <v>411030.92487600003</v>
          </cell>
          <cell r="L8">
            <v>119280</v>
          </cell>
          <cell r="Q8">
            <v>18683.223858000001</v>
          </cell>
          <cell r="T8">
            <v>7486.7999999999993</v>
          </cell>
        </row>
      </sheetData>
      <sheetData sheetId="18">
        <row r="3">
          <cell r="E3">
            <v>541604.64240000001</v>
          </cell>
          <cell r="Q3">
            <v>5416.0464240000001</v>
          </cell>
          <cell r="T3">
            <v>1497.36</v>
          </cell>
        </row>
        <row r="4">
          <cell r="E4">
            <v>423066.56400000001</v>
          </cell>
          <cell r="Q4">
            <v>4230.6656400000002</v>
          </cell>
          <cell r="T4">
            <v>1497.36</v>
          </cell>
        </row>
        <row r="12">
          <cell r="E12">
            <v>364577.7438</v>
          </cell>
          <cell r="Q12">
            <v>3645.7774380000001</v>
          </cell>
          <cell r="T12">
            <v>1497.36</v>
          </cell>
        </row>
        <row r="13">
          <cell r="E13">
            <v>423066.56400000001</v>
          </cell>
          <cell r="Q13">
            <v>4230.6656400000002</v>
          </cell>
          <cell r="T13">
            <v>1497.36</v>
          </cell>
        </row>
        <row r="15">
          <cell r="I15">
            <v>146026.29285</v>
          </cell>
          <cell r="K15">
            <v>385509.41312400001</v>
          </cell>
          <cell r="P15">
            <v>10893.24</v>
          </cell>
        </row>
      </sheetData>
      <sheetData sheetId="19">
        <row r="7">
          <cell r="E7">
            <v>1198749.6864</v>
          </cell>
          <cell r="I7">
            <v>99895.80720000001</v>
          </cell>
          <cell r="K7">
            <v>263724.93100799999</v>
          </cell>
          <cell r="P7">
            <v>10893.24</v>
          </cell>
          <cell r="Q7">
            <v>11987.496864000001</v>
          </cell>
          <cell r="T7">
            <v>5989.44</v>
          </cell>
        </row>
      </sheetData>
      <sheetData sheetId="20">
        <row r="6">
          <cell r="E6">
            <v>1388583.564858</v>
          </cell>
          <cell r="I6">
            <v>115715.29707149998</v>
          </cell>
          <cell r="K6">
            <v>305488.38426875998</v>
          </cell>
          <cell r="Q6">
            <v>13885.835648580001</v>
          </cell>
          <cell r="T6">
            <v>4492.08</v>
          </cell>
        </row>
      </sheetData>
      <sheetData sheetId="21">
        <row r="9">
          <cell r="E9">
            <v>1517299.9764840002</v>
          </cell>
          <cell r="I9">
            <v>126441.66470699999</v>
          </cell>
          <cell r="K9">
            <v>333805.99482647999</v>
          </cell>
          <cell r="Q9">
            <v>15172.999764839999</v>
          </cell>
          <cell r="T9">
            <v>8930.5095695999989</v>
          </cell>
        </row>
      </sheetData>
      <sheetData sheetId="22">
        <row r="10">
          <cell r="E10">
            <v>2415152.8210644</v>
          </cell>
          <cell r="I10">
            <v>201262.73508869999</v>
          </cell>
          <cell r="K10">
            <v>531333.62063416792</v>
          </cell>
          <cell r="P10">
            <v>21786.48</v>
          </cell>
          <cell r="Q10">
            <v>24151.528210643999</v>
          </cell>
          <cell r="T10">
            <v>10481.52</v>
          </cell>
        </row>
      </sheetData>
      <sheetData sheetId="23">
        <row r="7">
          <cell r="E7">
            <v>395778.47795999999</v>
          </cell>
          <cell r="I7">
            <v>32981.539829999994</v>
          </cell>
          <cell r="K7">
            <v>87071.265151200001</v>
          </cell>
          <cell r="Q7">
            <v>3957.7847795999996</v>
          </cell>
          <cell r="T7">
            <v>2941.0695695999998</v>
          </cell>
        </row>
      </sheetData>
      <sheetData sheetId="24">
        <row r="21">
          <cell r="E21">
            <v>2653912.4900760008</v>
          </cell>
          <cell r="I21">
            <v>221159.37417299996</v>
          </cell>
          <cell r="K21">
            <v>583860.74781672005</v>
          </cell>
          <cell r="Q21">
            <v>26539.124900759998</v>
          </cell>
          <cell r="T21">
            <v>26094.073113599996</v>
          </cell>
        </row>
      </sheetData>
      <sheetData sheetId="25">
        <row r="20">
          <cell r="E20">
            <v>2287302.3914400004</v>
          </cell>
          <cell r="I20">
            <v>190608.53261999995</v>
          </cell>
          <cell r="J20">
            <v>0</v>
          </cell>
          <cell r="K20">
            <v>503206.52611679997</v>
          </cell>
          <cell r="L20">
            <v>16214.400000000001</v>
          </cell>
          <cell r="M20">
            <v>0</v>
          </cell>
          <cell r="N20">
            <v>0</v>
          </cell>
          <cell r="Q20">
            <v>22873.023914399997</v>
          </cell>
          <cell r="R20">
            <v>1680</v>
          </cell>
          <cell r="T20">
            <v>22873.023914399997</v>
          </cell>
        </row>
      </sheetData>
      <sheetData sheetId="26">
        <row r="4">
          <cell r="E4">
            <v>364577.69012400002</v>
          </cell>
          <cell r="I4">
            <v>30381.474177</v>
          </cell>
          <cell r="K4">
            <v>80207.091827280005</v>
          </cell>
          <cell r="Q4">
            <v>3645.7769012400004</v>
          </cell>
          <cell r="T4">
            <v>1497.36</v>
          </cell>
        </row>
      </sheetData>
      <sheetData sheetId="27">
        <row r="5">
          <cell r="E5">
            <v>652262.23540799995</v>
          </cell>
          <cell r="I5">
            <v>54355.186283999996</v>
          </cell>
          <cell r="K5">
            <v>143497.69178975999</v>
          </cell>
          <cell r="Q5">
            <v>6522.6223540800002</v>
          </cell>
          <cell r="T5">
            <v>2994.72</v>
          </cell>
        </row>
      </sheetData>
      <sheetData sheetId="28">
        <row r="49">
          <cell r="E49">
            <v>7617940.6249800026</v>
          </cell>
          <cell r="I49">
            <v>634828.38541499956</v>
          </cell>
          <cell r="K49">
            <v>1675946.9374955995</v>
          </cell>
          <cell r="L49">
            <v>290116.8</v>
          </cell>
          <cell r="P49">
            <v>10893.24</v>
          </cell>
          <cell r="Q49">
            <v>301552.08</v>
          </cell>
          <cell r="R49">
            <v>76179.406249799955</v>
          </cell>
          <cell r="U49">
            <v>68878.560000000012</v>
          </cell>
        </row>
      </sheetData>
      <sheetData sheetId="29">
        <row r="5">
          <cell r="E5">
            <v>906188.77619999996</v>
          </cell>
          <cell r="I5">
            <v>75515.731349999987</v>
          </cell>
          <cell r="K5">
            <v>199361.53076399997</v>
          </cell>
          <cell r="L5">
            <v>45230.399999999994</v>
          </cell>
          <cell r="M5">
            <v>203593.68</v>
          </cell>
          <cell r="N5">
            <v>19200</v>
          </cell>
          <cell r="P5">
            <v>0</v>
          </cell>
          <cell r="Q5">
            <v>9061.8877619999985</v>
          </cell>
          <cell r="R5">
            <v>210</v>
          </cell>
          <cell r="S5">
            <v>42772.32</v>
          </cell>
          <cell r="T5">
            <v>2994.72</v>
          </cell>
        </row>
      </sheetData>
      <sheetData sheetId="30">
        <row r="26">
          <cell r="E26">
            <v>4155164.2678320003</v>
          </cell>
          <cell r="I26">
            <v>346263.68898599991</v>
          </cell>
          <cell r="J26">
            <v>0</v>
          </cell>
          <cell r="K26">
            <v>914136.13892303989</v>
          </cell>
          <cell r="L26">
            <v>95918.399999999994</v>
          </cell>
          <cell r="M26">
            <v>494903.87999999995</v>
          </cell>
          <cell r="N26">
            <v>28800</v>
          </cell>
          <cell r="P26">
            <v>10893.24</v>
          </cell>
          <cell r="Q26">
            <v>41551.642678319993</v>
          </cell>
          <cell r="R26">
            <v>2415</v>
          </cell>
          <cell r="T26">
            <v>32863.629892799996</v>
          </cell>
        </row>
      </sheetData>
      <sheetData sheetId="31">
        <row r="38">
          <cell r="E38">
            <v>6002177.9794200016</v>
          </cell>
          <cell r="I38">
            <v>500181.49828499975</v>
          </cell>
          <cell r="K38">
            <v>1320479.1554723992</v>
          </cell>
          <cell r="L38">
            <v>55123.200000000004</v>
          </cell>
          <cell r="M38">
            <v>628023.93960000004</v>
          </cell>
          <cell r="N38">
            <v>48000</v>
          </cell>
          <cell r="O38">
            <v>0</v>
          </cell>
          <cell r="P38">
            <v>0</v>
          </cell>
          <cell r="Q38">
            <v>60021.779794200047</v>
          </cell>
          <cell r="R38">
            <v>3570</v>
          </cell>
          <cell r="S38">
            <v>41875.68</v>
          </cell>
          <cell r="T38">
            <v>49576.313899200031</v>
          </cell>
        </row>
      </sheetData>
      <sheetData sheetId="32"/>
      <sheetData sheetId="33">
        <row r="35">
          <cell r="E35">
            <v>5947580.710115999</v>
          </cell>
          <cell r="I35">
            <v>495631.72584299988</v>
          </cell>
          <cell r="J35">
            <v>0</v>
          </cell>
          <cell r="K35">
            <v>1308467.75622552</v>
          </cell>
          <cell r="L35">
            <v>156960</v>
          </cell>
          <cell r="M35">
            <v>360519.6</v>
          </cell>
          <cell r="N35">
            <v>30696</v>
          </cell>
          <cell r="P35">
            <v>10893.24</v>
          </cell>
          <cell r="Q35">
            <v>44806.92</v>
          </cell>
          <cell r="R35">
            <v>59475.807101159997</v>
          </cell>
          <cell r="S35">
            <v>3255</v>
          </cell>
          <cell r="U35">
            <v>45433.753387440003</v>
          </cell>
        </row>
      </sheetData>
      <sheetData sheetId="34">
        <row r="10">
          <cell r="E10">
            <v>1102181.5117439998</v>
          </cell>
          <cell r="I10">
            <v>91848.459311999992</v>
          </cell>
          <cell r="K10">
            <v>242479.93258367997</v>
          </cell>
          <cell r="Q10">
            <v>11021.815117439999</v>
          </cell>
          <cell r="T10">
            <v>10237.065754379999</v>
          </cell>
        </row>
      </sheetData>
      <sheetData sheetId="35">
        <row r="44">
          <cell r="E44">
            <v>11029140.688841999</v>
          </cell>
          <cell r="I44">
            <v>919095.05740349996</v>
          </cell>
          <cell r="J44">
            <v>10197.93</v>
          </cell>
          <cell r="K44">
            <v>2426410.9515452394</v>
          </cell>
          <cell r="L44">
            <v>621759.60000000009</v>
          </cell>
          <cell r="M44">
            <v>947782.44000000018</v>
          </cell>
          <cell r="N44">
            <v>52800</v>
          </cell>
          <cell r="P44">
            <v>54466.2</v>
          </cell>
          <cell r="Q44">
            <v>110291.40688842002</v>
          </cell>
          <cell r="R44">
            <v>4200</v>
          </cell>
          <cell r="T44">
            <v>59518.846987200021</v>
          </cell>
        </row>
      </sheetData>
      <sheetData sheetId="36"/>
      <sheetData sheetId="37">
        <row r="13">
          <cell r="E13">
            <v>2095458.6841740001</v>
          </cell>
          <cell r="I13">
            <v>174621.55701449999</v>
          </cell>
          <cell r="K13">
            <v>461000.91051828006</v>
          </cell>
          <cell r="Q13">
            <v>20954.586841739998</v>
          </cell>
          <cell r="R13">
            <v>945</v>
          </cell>
          <cell r="T13">
            <v>13207.986570000001</v>
          </cell>
        </row>
      </sheetData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5REV"/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353DISA"/>
      <sheetName val="6401SPORTS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</sheetNames>
    <sheetDataSet>
      <sheetData sheetId="0">
        <row r="3">
          <cell r="E3">
            <v>59761.030859999999</v>
          </cell>
          <cell r="K3">
            <v>13147.426789200001</v>
          </cell>
          <cell r="M3">
            <v>0</v>
          </cell>
          <cell r="N3">
            <v>0</v>
          </cell>
          <cell r="Q3">
            <v>597.61030860000005</v>
          </cell>
          <cell r="R3">
            <v>43.75</v>
          </cell>
          <cell r="S3">
            <v>1723.7</v>
          </cell>
        </row>
        <row r="4">
          <cell r="E4">
            <v>60154.554749999988</v>
          </cell>
          <cell r="I4">
            <v>12030.910949999998</v>
          </cell>
          <cell r="K4">
            <v>13234.002044999997</v>
          </cell>
          <cell r="L4"/>
          <cell r="M4">
            <v>0</v>
          </cell>
          <cell r="N4">
            <v>0</v>
          </cell>
          <cell r="Q4">
            <v>601.54554749999988</v>
          </cell>
          <cell r="R4">
            <v>43.75</v>
          </cell>
          <cell r="S4">
            <v>0</v>
          </cell>
          <cell r="T4" t="e">
            <v>#REF!</v>
          </cell>
        </row>
        <row r="5">
          <cell r="E5">
            <v>141011.21849999999</v>
          </cell>
          <cell r="I5">
            <v>28202.243699999999</v>
          </cell>
          <cell r="J5"/>
          <cell r="K5">
            <v>31022.468069999999</v>
          </cell>
          <cell r="L5">
            <v>13035</v>
          </cell>
          <cell r="M5">
            <v>0</v>
          </cell>
          <cell r="N5">
            <v>0</v>
          </cell>
          <cell r="Q5">
            <v>1410.112185</v>
          </cell>
          <cell r="R5">
            <v>43.75</v>
          </cell>
          <cell r="S5">
            <v>0</v>
          </cell>
          <cell r="T5">
            <v>1410.112185</v>
          </cell>
        </row>
        <row r="6">
          <cell r="E6">
            <v>60154.565399999992</v>
          </cell>
          <cell r="I6">
            <v>12030.913079999998</v>
          </cell>
          <cell r="K6">
            <v>13234.004387999998</v>
          </cell>
          <cell r="L6"/>
          <cell r="M6">
            <v>0</v>
          </cell>
          <cell r="N6">
            <v>0</v>
          </cell>
          <cell r="Q6">
            <v>601.5456539999999</v>
          </cell>
          <cell r="R6">
            <v>43.75</v>
          </cell>
          <cell r="S6">
            <v>0</v>
          </cell>
          <cell r="T6">
            <v>601.5456539999999</v>
          </cell>
        </row>
        <row r="7">
          <cell r="E7">
            <v>44818.629300000001</v>
          </cell>
          <cell r="I7">
            <v>14939.543100000001</v>
          </cell>
          <cell r="K7">
            <v>9860.098446</v>
          </cell>
          <cell r="L7"/>
          <cell r="M7"/>
          <cell r="N7"/>
          <cell r="P7"/>
          <cell r="Q7">
            <v>448.18629300000003</v>
          </cell>
          <cell r="R7">
            <v>26.25</v>
          </cell>
          <cell r="S7"/>
          <cell r="T7">
            <v>448.18629300000003</v>
          </cell>
        </row>
        <row r="8">
          <cell r="E8">
            <v>95778.334232999987</v>
          </cell>
          <cell r="I8">
            <v>31926.111410999994</v>
          </cell>
          <cell r="J8"/>
          <cell r="K8">
            <v>21071.233531259997</v>
          </cell>
          <cell r="L8"/>
          <cell r="M8">
            <v>0</v>
          </cell>
          <cell r="N8">
            <v>2274</v>
          </cell>
          <cell r="P8"/>
          <cell r="Q8">
            <v>957.78334232999987</v>
          </cell>
          <cell r="R8">
            <v>26.25</v>
          </cell>
          <cell r="S8"/>
          <cell r="T8">
            <v>957.78334232999987</v>
          </cell>
        </row>
        <row r="9">
          <cell r="E9"/>
          <cell r="I9"/>
          <cell r="J9"/>
          <cell r="K9"/>
          <cell r="L9"/>
          <cell r="M9"/>
          <cell r="N9"/>
          <cell r="P9"/>
          <cell r="Q9"/>
          <cell r="R9"/>
          <cell r="T9"/>
        </row>
        <row r="10">
          <cell r="E10">
            <v>461678.33304300002</v>
          </cell>
          <cell r="I10">
            <v>111081.92841299999</v>
          </cell>
          <cell r="J10">
            <v>0</v>
          </cell>
          <cell r="K10">
            <v>101569.23326946</v>
          </cell>
          <cell r="L10">
            <v>13035</v>
          </cell>
          <cell r="M10">
            <v>0</v>
          </cell>
          <cell r="N10">
            <v>2274</v>
          </cell>
          <cell r="P10">
            <v>0</v>
          </cell>
          <cell r="Q10">
            <v>4616.7833304300002</v>
          </cell>
          <cell r="R10">
            <v>227.5</v>
          </cell>
          <cell r="T10" t="e">
            <v>#REF!</v>
          </cell>
        </row>
        <row r="13">
          <cell r="Q13"/>
        </row>
        <row r="15">
          <cell r="Q15"/>
        </row>
        <row r="20">
          <cell r="Q20"/>
        </row>
        <row r="29">
          <cell r="E29">
            <v>4843764.5262510004</v>
          </cell>
          <cell r="I29">
            <v>476255.77784700011</v>
          </cell>
          <cell r="J29">
            <v>38721.480000000003</v>
          </cell>
          <cell r="K29">
            <v>1065628.1957752197</v>
          </cell>
          <cell r="L29">
            <v>221942.99999999997</v>
          </cell>
          <cell r="M29">
            <v>369259.31999999995</v>
          </cell>
          <cell r="N29">
            <v>23874</v>
          </cell>
          <cell r="P29">
            <v>32679.72</v>
          </cell>
          <cell r="Q29">
            <v>48437.645262509992</v>
          </cell>
          <cell r="R29">
            <v>2222.5</v>
          </cell>
          <cell r="S29">
            <v>1723.7</v>
          </cell>
          <cell r="T29">
            <v>32905.671272430001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01SPEAKER"/>
      <sheetName val="6803MAYORS"/>
      <sheetName val="6805COUNCIL"/>
      <sheetName val="6053MM"/>
      <sheetName val="6055PMU"/>
      <sheetName val="6057MGTOTHER"/>
      <sheetName val="6059IA"/>
      <sheetName val="6103HRM"/>
      <sheetName val="6104HRD"/>
      <sheetName val="6105IT"/>
      <sheetName val="6107PROP"/>
      <sheetName val="6108LEGAL"/>
      <sheetName val="6109ADM"/>
      <sheetName val="6111FLEET"/>
      <sheetName val="6113SCM"/>
      <sheetName val="6114ASSETS"/>
      <sheetName val="6115REV"/>
      <sheetName val="6117EXP"/>
      <sheetName val="6119BUDGET"/>
      <sheetName val="6121PAYROLL"/>
      <sheetName val="6151STRAT"/>
      <sheetName val="6153LED"/>
      <sheetName val="6155TOWN"/>
      <sheetName val="6251LIB"/>
      <sheetName val="6255HALLS"/>
      <sheetName val="6267CEM"/>
      <sheetName val="6273COMM"/>
      <sheetName val="6301HOUS"/>
      <sheetName val="6351SEC"/>
      <sheetName val="6353DISA"/>
      <sheetName val="6401SPORTS"/>
      <sheetName val="6501REFU"/>
      <sheetName val="6551SEW"/>
      <sheetName val="6601ROAD"/>
      <sheetName val="6603TRANS"/>
      <sheetName val="6607VEH"/>
      <sheetName val="6651WAT"/>
      <sheetName val="6707ELEC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3">
          <cell r="E3">
            <v>698105.70588000002</v>
          </cell>
          <cell r="M3">
            <v>346783.44</v>
          </cell>
          <cell r="N3">
            <v>16800</v>
          </cell>
          <cell r="R3">
            <v>38400</v>
          </cell>
        </row>
        <row r="4">
          <cell r="N4">
            <v>16800</v>
          </cell>
          <cell r="R4">
            <v>38400</v>
          </cell>
          <cell r="S4">
            <v>1497.36</v>
          </cell>
        </row>
        <row r="5">
          <cell r="M5">
            <v>128040</v>
          </cell>
          <cell r="N5">
            <v>16800</v>
          </cell>
          <cell r="R5">
            <v>46776.24</v>
          </cell>
          <cell r="S5">
            <v>1497.36</v>
          </cell>
        </row>
        <row r="6">
          <cell r="M6">
            <v>150098.79999999999</v>
          </cell>
          <cell r="N6">
            <v>11200</v>
          </cell>
          <cell r="R6">
            <v>25600</v>
          </cell>
          <cell r="S6">
            <v>1497.36</v>
          </cell>
        </row>
        <row r="7">
          <cell r="M7">
            <v>350960.08559999999</v>
          </cell>
          <cell r="N7">
            <v>16800</v>
          </cell>
          <cell r="R7">
            <v>38400</v>
          </cell>
          <cell r="S7">
            <v>1497.36</v>
          </cell>
        </row>
        <row r="8">
          <cell r="M8">
            <v>242331.96000000002</v>
          </cell>
          <cell r="N8">
            <v>16800</v>
          </cell>
          <cell r="R8">
            <v>38400</v>
          </cell>
          <cell r="S8">
            <v>1497.36</v>
          </cell>
        </row>
      </sheetData>
      <sheetData sheetId="4" refreshError="1">
        <row r="10">
          <cell r="E10">
            <v>1656725.0784480001</v>
          </cell>
          <cell r="J10">
            <v>12127.47</v>
          </cell>
          <cell r="L10">
            <v>130384.79999999999</v>
          </cell>
          <cell r="M10">
            <v>325959.12</v>
          </cell>
          <cell r="N10">
            <v>35496</v>
          </cell>
          <cell r="P10">
            <v>0</v>
          </cell>
          <cell r="Q10">
            <v>420</v>
          </cell>
        </row>
      </sheetData>
      <sheetData sheetId="5" refreshError="1"/>
      <sheetData sheetId="6" refreshError="1">
        <row r="8">
          <cell r="E8">
            <v>1360752.6466776</v>
          </cell>
          <cell r="L8">
            <v>43128</v>
          </cell>
          <cell r="M8">
            <v>370974.71999999997</v>
          </cell>
          <cell r="N8">
            <v>12000</v>
          </cell>
          <cell r="R8">
            <v>315</v>
          </cell>
        </row>
      </sheetData>
      <sheetData sheetId="7" refreshError="1">
        <row r="10">
          <cell r="E10">
            <v>2627805.1796171996</v>
          </cell>
          <cell r="J10">
            <v>0</v>
          </cell>
          <cell r="L10">
            <v>204232.80000000002</v>
          </cell>
          <cell r="M10">
            <v>536106.12</v>
          </cell>
          <cell r="N10">
            <v>37896</v>
          </cell>
          <cell r="R10">
            <v>735</v>
          </cell>
        </row>
      </sheetData>
      <sheetData sheetId="8" refreshError="1">
        <row r="7">
          <cell r="E7">
            <v>1018807.0739088</v>
          </cell>
          <cell r="G7">
            <v>0</v>
          </cell>
          <cell r="H7">
            <v>0</v>
          </cell>
          <cell r="J7">
            <v>0</v>
          </cell>
          <cell r="L7">
            <v>96628.799999999988</v>
          </cell>
          <cell r="M7">
            <v>402782.16000000003</v>
          </cell>
          <cell r="N7">
            <v>23496</v>
          </cell>
          <cell r="R7">
            <v>315</v>
          </cell>
        </row>
      </sheetData>
      <sheetData sheetId="9" refreshError="1">
        <row r="8">
          <cell r="E8">
            <v>1391219.2954055998</v>
          </cell>
          <cell r="J8">
            <v>14788.78</v>
          </cell>
          <cell r="L8">
            <v>45372</v>
          </cell>
          <cell r="M8">
            <v>472671.72</v>
          </cell>
          <cell r="N8">
            <v>26400</v>
          </cell>
          <cell r="R8">
            <v>315</v>
          </cell>
        </row>
      </sheetData>
      <sheetData sheetId="10" refreshError="1">
        <row r="38">
          <cell r="E38">
            <v>7931871.7843969576</v>
          </cell>
          <cell r="G38">
            <v>0</v>
          </cell>
        </row>
      </sheetData>
      <sheetData sheetId="11" refreshError="1">
        <row r="5">
          <cell r="E5">
            <v>542621.74031999998</v>
          </cell>
          <cell r="J5">
            <v>0</v>
          </cell>
          <cell r="L5">
            <v>45372</v>
          </cell>
          <cell r="M5">
            <v>200977.68</v>
          </cell>
          <cell r="N5">
            <v>12000</v>
          </cell>
          <cell r="P5">
            <v>0</v>
          </cell>
          <cell r="R5">
            <v>105</v>
          </cell>
        </row>
      </sheetData>
      <sheetData sheetId="12" refreshError="1"/>
      <sheetData sheetId="13" refreshError="1">
        <row r="7">
          <cell r="E7">
            <v>1056790.9440000001</v>
          </cell>
          <cell r="J7">
            <v>0</v>
          </cell>
        </row>
      </sheetData>
      <sheetData sheetId="14" refreshError="1">
        <row r="12">
          <cell r="E12">
            <v>2470314.4008839992</v>
          </cell>
          <cell r="G12">
            <v>0</v>
          </cell>
          <cell r="J12">
            <v>0</v>
          </cell>
        </row>
      </sheetData>
      <sheetData sheetId="15" refreshError="1"/>
      <sheetData sheetId="16" refreshError="1">
        <row r="29">
          <cell r="E29">
            <v>5725801.3465752006</v>
          </cell>
          <cell r="G29">
            <v>0</v>
          </cell>
        </row>
      </sheetData>
      <sheetData sheetId="17" refreshError="1">
        <row r="8">
          <cell r="E8">
            <v>1871830.9724399997</v>
          </cell>
          <cell r="G8">
            <v>0</v>
          </cell>
          <cell r="M8">
            <v>370974.71999999997</v>
          </cell>
          <cell r="N8">
            <v>12000</v>
          </cell>
          <cell r="R8">
            <v>525</v>
          </cell>
        </row>
      </sheetData>
      <sheetData sheetId="18" refreshError="1">
        <row r="3">
          <cell r="E3">
            <v>542621.74031999998</v>
          </cell>
        </row>
        <row r="5">
          <cell r="E5">
            <v>90000</v>
          </cell>
          <cell r="Q5">
            <v>900</v>
          </cell>
          <cell r="T5">
            <v>900</v>
          </cell>
        </row>
        <row r="6">
          <cell r="E6">
            <v>90000</v>
          </cell>
          <cell r="Q6">
            <v>900</v>
          </cell>
          <cell r="T6">
            <v>900</v>
          </cell>
        </row>
        <row r="7">
          <cell r="E7">
            <v>90000</v>
          </cell>
          <cell r="Q7">
            <v>900</v>
          </cell>
          <cell r="T7">
            <v>900</v>
          </cell>
        </row>
        <row r="8">
          <cell r="E8">
            <v>90000</v>
          </cell>
          <cell r="Q8">
            <v>900</v>
          </cell>
          <cell r="T8">
            <v>900</v>
          </cell>
        </row>
        <row r="9">
          <cell r="E9">
            <v>90000</v>
          </cell>
          <cell r="Q9">
            <v>900</v>
          </cell>
          <cell r="T9">
            <v>900</v>
          </cell>
        </row>
        <row r="10">
          <cell r="E10">
            <v>90000</v>
          </cell>
          <cell r="Q10">
            <v>900</v>
          </cell>
          <cell r="T10">
            <v>900</v>
          </cell>
        </row>
        <row r="11">
          <cell r="E11">
            <v>90000</v>
          </cell>
          <cell r="Q11">
            <v>900</v>
          </cell>
          <cell r="T11">
            <v>900</v>
          </cell>
        </row>
        <row r="15">
          <cell r="L15">
            <v>43509.599999999999</v>
          </cell>
          <cell r="M15">
            <v>513243.43679999997</v>
          </cell>
          <cell r="N15">
            <v>12000</v>
          </cell>
          <cell r="R15">
            <v>420</v>
          </cell>
        </row>
      </sheetData>
      <sheetData sheetId="19" refreshError="1">
        <row r="7">
          <cell r="E7">
            <v>1201000.8595199999</v>
          </cell>
          <cell r="L7">
            <v>107690.4</v>
          </cell>
          <cell r="M7">
            <v>166501.44</v>
          </cell>
          <cell r="N7">
            <v>9600</v>
          </cell>
          <cell r="R7">
            <v>420</v>
          </cell>
        </row>
      </sheetData>
      <sheetData sheetId="20" refreshError="1">
        <row r="6">
          <cell r="E6">
            <v>1391191.2335244</v>
          </cell>
          <cell r="G6">
            <v>0</v>
          </cell>
          <cell r="L6">
            <v>17071.199999999997</v>
          </cell>
          <cell r="M6">
            <v>524308.19999999995</v>
          </cell>
          <cell r="N6">
            <v>19200</v>
          </cell>
          <cell r="R6">
            <v>315</v>
          </cell>
        </row>
      </sheetData>
      <sheetData sheetId="21" refreshError="1">
        <row r="9">
          <cell r="E9">
            <v>1520149.3661112001</v>
          </cell>
          <cell r="G9">
            <v>0</v>
          </cell>
          <cell r="J9">
            <v>33721.279999999999</v>
          </cell>
          <cell r="L9">
            <v>58032.000000000007</v>
          </cell>
          <cell r="M9">
            <v>204473.27999999997</v>
          </cell>
          <cell r="N9">
            <v>12000</v>
          </cell>
          <cell r="P9">
            <v>0</v>
          </cell>
          <cell r="R9">
            <v>630</v>
          </cell>
        </row>
      </sheetData>
      <sheetData sheetId="22" refreshError="1">
        <row r="10">
          <cell r="E10">
            <v>2419688.3193199201</v>
          </cell>
          <cell r="G10">
            <v>0</v>
          </cell>
          <cell r="J10">
            <v>0</v>
          </cell>
          <cell r="L10">
            <v>140695.20000000001</v>
          </cell>
          <cell r="M10">
            <v>348178.55999999994</v>
          </cell>
          <cell r="N10">
            <v>19200</v>
          </cell>
          <cell r="R10">
            <v>735</v>
          </cell>
        </row>
      </sheetData>
      <sheetData sheetId="23" refreshError="1">
        <row r="7">
          <cell r="E7">
            <v>396521.72392799996</v>
          </cell>
          <cell r="J7">
            <v>0</v>
          </cell>
          <cell r="L7">
            <v>27374.399999999998</v>
          </cell>
          <cell r="R7">
            <v>210</v>
          </cell>
        </row>
      </sheetData>
      <sheetData sheetId="24" refreshError="1">
        <row r="21">
          <cell r="E21">
            <v>2658896.3632967994</v>
          </cell>
          <cell r="J21">
            <v>0</v>
          </cell>
          <cell r="L21">
            <v>57499.199999999997</v>
          </cell>
          <cell r="M21">
            <v>0</v>
          </cell>
          <cell r="P21">
            <v>0</v>
          </cell>
          <cell r="R21">
            <v>1890</v>
          </cell>
        </row>
      </sheetData>
      <sheetData sheetId="25" refreshError="1">
        <row r="21">
          <cell r="E21">
            <v>2615805.7420043992</v>
          </cell>
          <cell r="P21">
            <v>0</v>
          </cell>
        </row>
      </sheetData>
      <sheetData sheetId="26" refreshError="1">
        <row r="4">
          <cell r="E4">
            <v>365262.34306320001</v>
          </cell>
          <cell r="L4">
            <v>0</v>
          </cell>
          <cell r="N4">
            <v>7200</v>
          </cell>
          <cell r="R4">
            <v>105</v>
          </cell>
        </row>
      </sheetData>
      <sheetData sheetId="27" refreshError="1">
        <row r="5">
          <cell r="E5">
            <v>653487.14101439994</v>
          </cell>
          <cell r="J5">
            <v>54082.87</v>
          </cell>
          <cell r="L5">
            <v>68066.399999999994</v>
          </cell>
          <cell r="M5">
            <v>166501.44</v>
          </cell>
          <cell r="N5">
            <v>16800</v>
          </cell>
          <cell r="P5">
            <v>0</v>
          </cell>
          <cell r="R5">
            <v>210</v>
          </cell>
        </row>
      </sheetData>
      <sheetData sheetId="28" refreshError="1">
        <row r="49">
          <cell r="E49">
            <v>7632246.616763996</v>
          </cell>
          <cell r="J49">
            <v>0</v>
          </cell>
          <cell r="M49">
            <v>166501.44</v>
          </cell>
          <cell r="N49">
            <v>9600</v>
          </cell>
          <cell r="S49">
            <v>4830</v>
          </cell>
        </row>
      </sheetData>
      <sheetData sheetId="29" refreshError="1"/>
      <sheetData sheetId="30" refreshError="1"/>
      <sheetData sheetId="31" refreshError="1">
        <row r="40">
          <cell r="E40">
            <v>6382241.6213556034</v>
          </cell>
          <cell r="J40">
            <v>0</v>
          </cell>
        </row>
      </sheetData>
      <sheetData sheetId="32" refreshError="1"/>
      <sheetData sheetId="33" refreshError="1"/>
      <sheetData sheetId="34" refreshError="1">
        <row r="10">
          <cell r="E10">
            <v>1104251.3361791999</v>
          </cell>
          <cell r="J10">
            <v>0</v>
          </cell>
          <cell r="R10">
            <v>735</v>
          </cell>
        </row>
      </sheetData>
      <sheetData sheetId="35" refreshError="1"/>
      <sheetData sheetId="36" refreshError="1"/>
      <sheetData sheetId="37" refreshError="1">
        <row r="13">
          <cell r="E13">
            <v>2099393.8178531998</v>
          </cell>
          <cell r="J13">
            <v>0</v>
          </cell>
          <cell r="L13">
            <v>79529.040000000008</v>
          </cell>
          <cell r="M13">
            <v>167211.80000000002</v>
          </cell>
          <cell r="N13">
            <v>9600</v>
          </cell>
        </row>
      </sheetData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defaultColWidth="8" defaultRowHeight="15.75" x14ac:dyDescent="0.25"/>
  <cols>
    <col min="1" max="1" width="2.375" style="20" customWidth="1"/>
    <col min="2" max="2" width="28.75" style="20" bestFit="1" customWidth="1"/>
    <col min="3" max="3" width="17.125" style="25" customWidth="1"/>
    <col min="4" max="5" width="17.875" style="25" customWidth="1"/>
    <col min="6" max="6" width="16.75" style="20" customWidth="1"/>
    <col min="7" max="7" width="16.75" style="25" customWidth="1"/>
    <col min="8" max="8" width="17" style="20" customWidth="1"/>
    <col min="9" max="9" width="14.75" style="20" bestFit="1" customWidth="1"/>
    <col min="10" max="10" width="14.375" style="20" customWidth="1"/>
    <col min="11" max="11" width="12.625" style="20" bestFit="1" customWidth="1"/>
    <col min="12" max="16384" width="8" style="20"/>
  </cols>
  <sheetData>
    <row r="1" spans="1:11" x14ac:dyDescent="0.25">
      <c r="A1" s="19" t="s">
        <v>1597</v>
      </c>
      <c r="B1" s="19"/>
    </row>
    <row r="2" spans="1:11" x14ac:dyDescent="0.25">
      <c r="A2" s="19" t="s">
        <v>2342</v>
      </c>
      <c r="B2" s="19"/>
    </row>
    <row r="4" spans="1:11" s="19" customFormat="1" ht="60" x14ac:dyDescent="0.25">
      <c r="C4" s="48" t="s">
        <v>2193</v>
      </c>
      <c r="D4" s="48" t="s">
        <v>2230</v>
      </c>
      <c r="E4" s="48" t="s">
        <v>2340</v>
      </c>
      <c r="F4" s="48" t="s">
        <v>2343</v>
      </c>
      <c r="G4" s="48" t="s">
        <v>2228</v>
      </c>
      <c r="H4" s="48" t="s">
        <v>2229</v>
      </c>
    </row>
    <row r="5" spans="1:11" x14ac:dyDescent="0.25">
      <c r="B5" s="26" t="s">
        <v>1601</v>
      </c>
    </row>
    <row r="6" spans="1:11" ht="16.5" thickBot="1" x14ac:dyDescent="0.3">
      <c r="B6" s="19"/>
    </row>
    <row r="7" spans="1:11" ht="16.5" thickBot="1" x14ac:dyDescent="0.3">
      <c r="B7" s="119" t="s">
        <v>1602</v>
      </c>
      <c r="C7" s="120">
        <f>SUMMINC!E24</f>
        <v>615679148.00320518</v>
      </c>
      <c r="D7" s="120">
        <f>SUMMINC!F24</f>
        <v>581607458.58000004</v>
      </c>
      <c r="E7" s="120">
        <f>SUMMINC!G24</f>
        <v>590807458.58000004</v>
      </c>
      <c r="F7" s="120">
        <f>SUMMINC!H24</f>
        <v>600163401.37551987</v>
      </c>
      <c r="G7" s="120">
        <f>SUMMINC!I24</f>
        <v>628053738.4720428</v>
      </c>
      <c r="H7" s="120">
        <f>SUMMINC!J24</f>
        <v>661116884.72328484</v>
      </c>
      <c r="I7" s="70"/>
    </row>
    <row r="9" spans="1:11" ht="16.5" thickBot="1" x14ac:dyDescent="0.3">
      <c r="B9" s="20" t="s">
        <v>2062</v>
      </c>
      <c r="C9" s="27">
        <f t="shared" ref="C9:H9" si="0">+C10+C11+C12</f>
        <v>615679148.45448053</v>
      </c>
      <c r="D9" s="27">
        <f t="shared" si="0"/>
        <v>616950459.23083818</v>
      </c>
      <c r="E9" s="27">
        <f t="shared" si="0"/>
        <v>616950459.23083818</v>
      </c>
      <c r="F9" s="27">
        <f t="shared" si="0"/>
        <v>696783221.73383367</v>
      </c>
      <c r="G9" s="27">
        <f t="shared" si="0"/>
        <v>713696216.8365227</v>
      </c>
      <c r="H9" s="27">
        <f t="shared" si="0"/>
        <v>719390544.49446595</v>
      </c>
      <c r="I9" s="70"/>
    </row>
    <row r="10" spans="1:11" x14ac:dyDescent="0.25">
      <c r="B10" s="116" t="s">
        <v>1603</v>
      </c>
      <c r="C10" s="28">
        <f>SUMMEXP!E42-SUMM!C11-SUMM!C12</f>
        <v>448004941.47448051</v>
      </c>
      <c r="D10" s="28">
        <f>SUMMEXP!F42-SUMM!D11-SUMM!D12</f>
        <v>415826437.23083818</v>
      </c>
      <c r="E10" s="28">
        <f>SUMMEXP!G42-SUMM!E11-SUMM!E12</f>
        <v>415826437.23083818</v>
      </c>
      <c r="F10" s="28">
        <f>SUMMEXP!H42-SUMM!F11-SUMM!F12</f>
        <v>488048993.33383369</v>
      </c>
      <c r="G10" s="28">
        <f>SUMMEXP!I42-SUMM!G11-SUMM!G12</f>
        <v>502300100.17652273</v>
      </c>
      <c r="H10" s="28">
        <f>SUMMEXP!J42-SUMM!H11-SUMM!H12</f>
        <v>526648382.58446598</v>
      </c>
      <c r="I10" s="70"/>
    </row>
    <row r="11" spans="1:11" x14ac:dyDescent="0.25">
      <c r="B11" s="117" t="s">
        <v>1604</v>
      </c>
      <c r="C11" s="29">
        <f>PROGRAMMES!N200</f>
        <v>32420000</v>
      </c>
      <c r="D11" s="29">
        <f>PROGRAMMES!O200</f>
        <v>32462000</v>
      </c>
      <c r="E11" s="29">
        <f>PROGRAMMES!P200</f>
        <v>32462000</v>
      </c>
      <c r="F11" s="29">
        <f>PROGRAMMES!Q200</f>
        <v>32728000</v>
      </c>
      <c r="G11" s="29">
        <f>PROGRAMMES!R200</f>
        <v>29746000</v>
      </c>
      <c r="H11" s="29">
        <f>PROGRAMMES!S200</f>
        <v>31640000</v>
      </c>
      <c r="I11" s="70"/>
    </row>
    <row r="12" spans="1:11" ht="16.5" thickBot="1" x14ac:dyDescent="0.3">
      <c r="B12" s="118" t="s">
        <v>1605</v>
      </c>
      <c r="C12" s="30">
        <f>PROJECTS!J225</f>
        <v>135254206.97999999</v>
      </c>
      <c r="D12" s="30">
        <f>PROJECTS!K225</f>
        <v>168662022</v>
      </c>
      <c r="E12" s="30">
        <f>PROJECTS!L225</f>
        <v>168662022</v>
      </c>
      <c r="F12" s="30">
        <f>PROJECTS!M225</f>
        <v>176006228.40000001</v>
      </c>
      <c r="G12" s="30">
        <f>PROJECTS!N225</f>
        <v>181650116.66</v>
      </c>
      <c r="H12" s="30">
        <f>PROJECTS!O225</f>
        <v>161102161.91</v>
      </c>
      <c r="I12" s="70"/>
    </row>
    <row r="13" spans="1:11" ht="16.5" thickBot="1" x14ac:dyDescent="0.3">
      <c r="I13" s="70"/>
      <c r="J13" s="155"/>
      <c r="K13" s="70"/>
    </row>
    <row r="14" spans="1:11" s="19" customFormat="1" ht="16.5" thickBot="1" x14ac:dyDescent="0.3">
      <c r="B14" s="119" t="s">
        <v>1606</v>
      </c>
      <c r="C14" s="120">
        <f>+C7-C10-C11-C12</f>
        <v>-0.45127531886100769</v>
      </c>
      <c r="D14" s="158">
        <f>+D7-D10-D11-D12</f>
        <v>-35343000.650838137</v>
      </c>
      <c r="E14" s="158">
        <f>+E7-E10-E11-E12</f>
        <v>-26143000.650838137</v>
      </c>
      <c r="F14" s="158">
        <f t="shared" ref="F14:H14" si="1">+F7-F10-F11-F12</f>
        <v>-96619820.358313829</v>
      </c>
      <c r="G14" s="158">
        <f t="shared" si="1"/>
        <v>-85642478.364479929</v>
      </c>
      <c r="H14" s="158">
        <f t="shared" si="1"/>
        <v>-58273659.771181136</v>
      </c>
      <c r="I14" s="139"/>
    </row>
    <row r="15" spans="1:11" x14ac:dyDescent="0.25">
      <c r="J15" s="139"/>
    </row>
    <row r="16" spans="1:11" ht="18.75" x14ac:dyDescent="0.3">
      <c r="B16" s="61"/>
      <c r="D16" s="157"/>
      <c r="E16" s="157"/>
      <c r="F16" s="181"/>
      <c r="G16" s="156"/>
    </row>
    <row r="17" spans="2:9" x14ac:dyDescent="0.25">
      <c r="B17" s="62"/>
      <c r="F17" s="25"/>
    </row>
    <row r="18" spans="2:9" x14ac:dyDescent="0.25">
      <c r="F18" s="139"/>
      <c r="I18" s="70"/>
    </row>
    <row r="19" spans="2:9" x14ac:dyDescent="0.25">
      <c r="F19" s="181"/>
      <c r="G19" s="181"/>
      <c r="H19" s="139"/>
    </row>
    <row r="20" spans="2:9" x14ac:dyDescent="0.25">
      <c r="F20" s="181"/>
      <c r="G20" s="181"/>
      <c r="H20" s="181"/>
    </row>
    <row r="21" spans="2:9" x14ac:dyDescent="0.25">
      <c r="F21" s="139"/>
    </row>
    <row r="23" spans="2:9" x14ac:dyDescent="0.25">
      <c r="F23" s="139"/>
      <c r="G23" s="181"/>
    </row>
    <row r="25" spans="2:9" x14ac:dyDescent="0.25">
      <c r="F25" s="19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38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1" bestFit="1" customWidth="1"/>
    <col min="2" max="2" width="0" style="1" hidden="1" customWidth="1"/>
    <col min="3" max="3" width="19.375" style="1" hidden="1" customWidth="1"/>
    <col min="4" max="4" width="28.625" style="1" customWidth="1"/>
    <col min="5" max="11" width="9.125" style="1" hidden="1" customWidth="1"/>
    <col min="12" max="12" width="13.25" style="2" bestFit="1" customWidth="1"/>
    <col min="13" max="13" width="15.125" style="1" customWidth="1"/>
    <col min="14" max="17" width="15.125" style="161" customWidth="1"/>
    <col min="18" max="18" width="19.375" style="1" customWidth="1"/>
    <col min="19" max="19" width="12.625" style="2" bestFit="1" customWidth="1"/>
    <col min="20" max="16384" width="9.125" style="1"/>
  </cols>
  <sheetData>
    <row r="1" spans="1:19" ht="15.75" x14ac:dyDescent="0.25">
      <c r="A1" s="47" t="s">
        <v>1597</v>
      </c>
      <c r="B1" s="47"/>
      <c r="C1" s="47"/>
      <c r="D1" s="47"/>
    </row>
    <row r="2" spans="1:19" ht="15.75" x14ac:dyDescent="0.25">
      <c r="A2" s="19" t="s">
        <v>2342</v>
      </c>
      <c r="B2" s="19"/>
      <c r="C2" s="47"/>
      <c r="D2" s="47"/>
    </row>
    <row r="3" spans="1:19" ht="15.75" x14ac:dyDescent="0.25">
      <c r="A3" s="47" t="s">
        <v>217</v>
      </c>
      <c r="B3" s="47"/>
      <c r="C3" s="47"/>
      <c r="D3" s="47"/>
    </row>
    <row r="4" spans="1:19" ht="75.75" customHeight="1" x14ac:dyDescent="0.25">
      <c r="A4" s="1" t="s">
        <v>1202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" t="s">
        <v>243</v>
      </c>
      <c r="B5" s="3" t="s">
        <v>11</v>
      </c>
      <c r="C5" s="3" t="s">
        <v>12</v>
      </c>
      <c r="D5" s="3" t="s">
        <v>157</v>
      </c>
      <c r="E5" s="3" t="s">
        <v>216</v>
      </c>
      <c r="F5" s="3" t="s">
        <v>15</v>
      </c>
      <c r="G5" s="3" t="s">
        <v>16</v>
      </c>
      <c r="H5" s="3" t="s">
        <v>217</v>
      </c>
      <c r="I5" s="4" t="s">
        <v>18</v>
      </c>
      <c r="J5" s="4">
        <v>3</v>
      </c>
      <c r="K5" s="4"/>
      <c r="L5" s="6">
        <v>1515451.31916</v>
      </c>
      <c r="M5" s="6">
        <v>1522270.47</v>
      </c>
      <c r="N5" s="6">
        <v>1522270.47</v>
      </c>
      <c r="O5" s="6">
        <f>S5</f>
        <v>1579411.9541999996</v>
      </c>
      <c r="P5" s="6">
        <f>O5*1.044</f>
        <v>1648906.0801847996</v>
      </c>
      <c r="Q5" s="6">
        <f>P5*1.045</f>
        <v>1723106.8537931156</v>
      </c>
      <c r="S5" s="147">
        <f>'[1]6059IA'!$E$8</f>
        <v>1579411.9541999996</v>
      </c>
    </row>
    <row r="6" spans="1:19" hidden="1" x14ac:dyDescent="0.25">
      <c r="A6" s="3" t="s">
        <v>218</v>
      </c>
      <c r="B6" s="3" t="s">
        <v>11</v>
      </c>
      <c r="C6" s="3" t="s">
        <v>203</v>
      </c>
      <c r="D6" s="3" t="s">
        <v>157</v>
      </c>
      <c r="E6" s="3" t="s">
        <v>216</v>
      </c>
      <c r="F6" s="3" t="s">
        <v>37</v>
      </c>
      <c r="G6" s="3" t="s">
        <v>16</v>
      </c>
      <c r="H6" s="3" t="s">
        <v>217</v>
      </c>
      <c r="I6" s="4" t="s">
        <v>38</v>
      </c>
      <c r="J6" s="4">
        <v>1</v>
      </c>
      <c r="K6" s="4"/>
      <c r="L6" s="6">
        <v>0</v>
      </c>
      <c r="M6" s="6">
        <v>0</v>
      </c>
      <c r="N6" s="6">
        <v>0</v>
      </c>
      <c r="O6" s="6">
        <f t="shared" ref="O6:O19" si="0">S6</f>
        <v>0</v>
      </c>
      <c r="P6" s="6">
        <f t="shared" ref="P6:P19" si="1">O6*1.044</f>
        <v>0</v>
      </c>
      <c r="Q6" s="6">
        <f t="shared" ref="Q6:Q19" si="2">P6*1.045</f>
        <v>0</v>
      </c>
      <c r="S6" s="147"/>
    </row>
    <row r="7" spans="1:19" hidden="1" x14ac:dyDescent="0.25">
      <c r="A7" s="51" t="s">
        <v>1766</v>
      </c>
      <c r="B7" s="3"/>
      <c r="C7" s="3"/>
      <c r="D7" s="3" t="s">
        <v>1680</v>
      </c>
      <c r="E7" s="3"/>
      <c r="F7" s="3"/>
      <c r="G7" s="3"/>
      <c r="H7" s="3"/>
      <c r="I7" s="4"/>
      <c r="J7" s="4"/>
      <c r="K7" s="4"/>
      <c r="L7" s="6">
        <v>0</v>
      </c>
      <c r="M7" s="6">
        <v>0</v>
      </c>
      <c r="N7" s="6">
        <v>0</v>
      </c>
      <c r="O7" s="6">
        <f t="shared" si="0"/>
        <v>0</v>
      </c>
      <c r="P7" s="6">
        <f t="shared" si="1"/>
        <v>0</v>
      </c>
      <c r="Q7" s="6">
        <f t="shared" si="2"/>
        <v>0</v>
      </c>
      <c r="S7" s="147"/>
    </row>
    <row r="8" spans="1:19" x14ac:dyDescent="0.25">
      <c r="A8" s="3" t="s">
        <v>240</v>
      </c>
      <c r="B8" s="3" t="s">
        <v>11</v>
      </c>
      <c r="C8" s="3" t="s">
        <v>12</v>
      </c>
      <c r="D8" s="3" t="s">
        <v>153</v>
      </c>
      <c r="E8" s="3" t="s">
        <v>216</v>
      </c>
      <c r="F8" s="3" t="s">
        <v>15</v>
      </c>
      <c r="G8" s="3" t="s">
        <v>16</v>
      </c>
      <c r="H8" s="3" t="s">
        <v>217</v>
      </c>
      <c r="I8" s="4" t="s">
        <v>18</v>
      </c>
      <c r="J8" s="4">
        <v>3</v>
      </c>
      <c r="K8" s="4"/>
      <c r="L8" s="6">
        <v>126287.60992999998</v>
      </c>
      <c r="M8" s="6">
        <v>125469.65</v>
      </c>
      <c r="N8" s="6">
        <v>125469.65</v>
      </c>
      <c r="O8" s="6">
        <f t="shared" si="0"/>
        <v>131617.66284999999</v>
      </c>
      <c r="P8" s="6">
        <f t="shared" si="1"/>
        <v>137408.8400154</v>
      </c>
      <c r="Q8" s="6">
        <f t="shared" si="2"/>
        <v>143592.23781609299</v>
      </c>
      <c r="S8" s="147">
        <f>'[1]6059IA'!$I$8</f>
        <v>131617.66284999999</v>
      </c>
    </row>
    <row r="9" spans="1:19" x14ac:dyDescent="0.25">
      <c r="A9" s="3" t="s">
        <v>245</v>
      </c>
      <c r="B9" s="3" t="s">
        <v>11</v>
      </c>
      <c r="C9" s="3" t="s">
        <v>12</v>
      </c>
      <c r="D9" s="3" t="s">
        <v>41</v>
      </c>
      <c r="E9" s="3" t="s">
        <v>216</v>
      </c>
      <c r="F9" s="3" t="s">
        <v>15</v>
      </c>
      <c r="G9" s="3" t="s">
        <v>16</v>
      </c>
      <c r="H9" s="3" t="s">
        <v>217</v>
      </c>
      <c r="I9" s="4" t="s">
        <v>18</v>
      </c>
      <c r="J9" s="4">
        <v>3</v>
      </c>
      <c r="K9" s="4"/>
      <c r="L9" s="6">
        <v>333399.29021519999</v>
      </c>
      <c r="M9" s="6">
        <v>298227.23800000001</v>
      </c>
      <c r="N9" s="6">
        <v>298227.23800000001</v>
      </c>
      <c r="O9" s="6">
        <f t="shared" si="0"/>
        <v>347470.62992399995</v>
      </c>
      <c r="P9" s="6">
        <f t="shared" si="1"/>
        <v>362759.33764065598</v>
      </c>
      <c r="Q9" s="6">
        <f t="shared" si="2"/>
        <v>379083.5078344855</v>
      </c>
      <c r="S9" s="147">
        <f>'[1]6059IA'!$K$8</f>
        <v>347470.62992399995</v>
      </c>
    </row>
    <row r="10" spans="1:19" x14ac:dyDescent="0.25">
      <c r="A10" s="3" t="s">
        <v>244</v>
      </c>
      <c r="B10" s="3" t="s">
        <v>11</v>
      </c>
      <c r="C10" s="3" t="s">
        <v>12</v>
      </c>
      <c r="D10" s="3" t="s">
        <v>36</v>
      </c>
      <c r="E10" s="3" t="s">
        <v>216</v>
      </c>
      <c r="F10" s="3" t="s">
        <v>15</v>
      </c>
      <c r="G10" s="3" t="s">
        <v>16</v>
      </c>
      <c r="H10" s="3" t="s">
        <v>217</v>
      </c>
      <c r="I10" s="4" t="s">
        <v>18</v>
      </c>
      <c r="J10" s="4">
        <v>3</v>
      </c>
      <c r="K10" s="4"/>
      <c r="L10" s="6">
        <v>75888</v>
      </c>
      <c r="M10" s="6">
        <v>86047.2</v>
      </c>
      <c r="N10" s="6">
        <v>86047.2</v>
      </c>
      <c r="O10" s="6">
        <f t="shared" si="0"/>
        <v>86047.2</v>
      </c>
      <c r="P10" s="6">
        <f t="shared" si="1"/>
        <v>89833.276800000007</v>
      </c>
      <c r="Q10" s="6">
        <f t="shared" si="2"/>
        <v>93875.774256000004</v>
      </c>
      <c r="S10" s="147">
        <f>'[1]6059IA'!$L$8</f>
        <v>86047.2</v>
      </c>
    </row>
    <row r="11" spans="1:19" x14ac:dyDescent="0.25">
      <c r="A11" s="3" t="s">
        <v>247</v>
      </c>
      <c r="B11" s="3" t="s">
        <v>11</v>
      </c>
      <c r="C11" s="3" t="s">
        <v>12</v>
      </c>
      <c r="D11" s="3" t="s">
        <v>47</v>
      </c>
      <c r="E11" s="3" t="s">
        <v>216</v>
      </c>
      <c r="F11" s="3" t="s">
        <v>15</v>
      </c>
      <c r="G11" s="3" t="s">
        <v>16</v>
      </c>
      <c r="H11" s="3" t="s">
        <v>217</v>
      </c>
      <c r="I11" s="4" t="s">
        <v>18</v>
      </c>
      <c r="J11" s="4">
        <v>3</v>
      </c>
      <c r="K11" s="4"/>
      <c r="L11" s="6">
        <v>393421.80000000005</v>
      </c>
      <c r="M11" s="6">
        <v>398056.89</v>
      </c>
      <c r="N11" s="6">
        <v>398056.89</v>
      </c>
      <c r="O11" s="6">
        <f t="shared" si="0"/>
        <v>419182.41408000002</v>
      </c>
      <c r="P11" s="6">
        <f t="shared" si="1"/>
        <v>437626.44029952004</v>
      </c>
      <c r="Q11" s="6">
        <f t="shared" si="2"/>
        <v>457319.63011299842</v>
      </c>
      <c r="S11" s="147">
        <f>'[1]6059IA'!$M$8</f>
        <v>419182.41408000002</v>
      </c>
    </row>
    <row r="12" spans="1:19" x14ac:dyDescent="0.25">
      <c r="A12" s="3" t="s">
        <v>231</v>
      </c>
      <c r="B12" s="3" t="s">
        <v>11</v>
      </c>
      <c r="C12" s="3" t="s">
        <v>12</v>
      </c>
      <c r="D12" s="3" t="s">
        <v>45</v>
      </c>
      <c r="E12" s="3" t="s">
        <v>216</v>
      </c>
      <c r="F12" s="3" t="s">
        <v>37</v>
      </c>
      <c r="G12" s="3" t="s">
        <v>16</v>
      </c>
      <c r="H12" s="3" t="s">
        <v>217</v>
      </c>
      <c r="I12" s="4" t="s">
        <v>38</v>
      </c>
      <c r="J12" s="4">
        <v>3</v>
      </c>
      <c r="K12" s="4"/>
      <c r="L12" s="6">
        <v>13578.72</v>
      </c>
      <c r="M12" s="6">
        <v>13929.989999999998</v>
      </c>
      <c r="N12" s="6">
        <v>13929.989999999998</v>
      </c>
      <c r="O12" s="6">
        <f t="shared" si="0"/>
        <v>14735.386919999997</v>
      </c>
      <c r="P12" s="6">
        <f t="shared" si="1"/>
        <v>15383.743944479998</v>
      </c>
      <c r="Q12" s="6">
        <f t="shared" si="2"/>
        <v>16076.012421981597</v>
      </c>
      <c r="S12" s="147">
        <f>'[1]6059IA'!$N$8</f>
        <v>14735.386919999997</v>
      </c>
    </row>
    <row r="13" spans="1:19" x14ac:dyDescent="0.25">
      <c r="A13" s="3" t="s">
        <v>239</v>
      </c>
      <c r="B13" s="3" t="s">
        <v>11</v>
      </c>
      <c r="C13" s="3" t="s">
        <v>12</v>
      </c>
      <c r="D13" s="3" t="s">
        <v>156</v>
      </c>
      <c r="E13" s="3" t="s">
        <v>216</v>
      </c>
      <c r="F13" s="3" t="s">
        <v>15</v>
      </c>
      <c r="G13" s="3" t="s">
        <v>16</v>
      </c>
      <c r="H13" s="3" t="s">
        <v>217</v>
      </c>
      <c r="I13" s="4" t="s">
        <v>18</v>
      </c>
      <c r="J13" s="4">
        <v>3</v>
      </c>
      <c r="K13" s="4"/>
      <c r="L13" s="6">
        <v>23148.239999999998</v>
      </c>
      <c r="M13" s="6">
        <v>31828.83</v>
      </c>
      <c r="N13" s="6">
        <v>31828.83</v>
      </c>
      <c r="O13" s="6">
        <f t="shared" si="0"/>
        <v>36423.755639999996</v>
      </c>
      <c r="P13" s="6">
        <f t="shared" si="1"/>
        <v>38026.400888159995</v>
      </c>
      <c r="Q13" s="6">
        <f t="shared" si="2"/>
        <v>39737.588928127188</v>
      </c>
      <c r="S13" s="147">
        <f>'[1]6059IA'!$P$8</f>
        <v>36423.755639999996</v>
      </c>
    </row>
    <row r="14" spans="1:19" x14ac:dyDescent="0.25">
      <c r="A14" s="3" t="s">
        <v>219</v>
      </c>
      <c r="B14" s="3" t="s">
        <v>11</v>
      </c>
      <c r="C14" s="3" t="s">
        <v>12</v>
      </c>
      <c r="D14" s="3" t="s">
        <v>151</v>
      </c>
      <c r="E14" s="3" t="s">
        <v>216</v>
      </c>
      <c r="F14" s="3" t="s">
        <v>15</v>
      </c>
      <c r="G14" s="3" t="s">
        <v>16</v>
      </c>
      <c r="H14" s="3" t="s">
        <v>217</v>
      </c>
      <c r="I14" s="4" t="s">
        <v>18</v>
      </c>
      <c r="J14" s="4">
        <v>3</v>
      </c>
      <c r="K14" s="4"/>
      <c r="L14" s="6">
        <v>356.40000000000003</v>
      </c>
      <c r="M14" s="6">
        <v>370.8</v>
      </c>
      <c r="N14" s="6">
        <v>370.8</v>
      </c>
      <c r="O14" s="6">
        <f t="shared" si="0"/>
        <v>370.8</v>
      </c>
      <c r="P14" s="6">
        <f t="shared" si="1"/>
        <v>387.11520000000002</v>
      </c>
      <c r="Q14" s="6">
        <f t="shared" si="2"/>
        <v>404.53538399999996</v>
      </c>
      <c r="S14" s="147">
        <f>'[1]6059IA'!$R$8</f>
        <v>370.8</v>
      </c>
    </row>
    <row r="15" spans="1:19" x14ac:dyDescent="0.25">
      <c r="A15" s="3" t="s">
        <v>220</v>
      </c>
      <c r="B15" s="3" t="s">
        <v>11</v>
      </c>
      <c r="C15" s="3" t="s">
        <v>12</v>
      </c>
      <c r="D15" s="3" t="s">
        <v>43</v>
      </c>
      <c r="E15" s="3" t="s">
        <v>216</v>
      </c>
      <c r="F15" s="3" t="s">
        <v>15</v>
      </c>
      <c r="G15" s="3" t="s">
        <v>16</v>
      </c>
      <c r="H15" s="3" t="s">
        <v>217</v>
      </c>
      <c r="I15" s="4" t="s">
        <v>18</v>
      </c>
      <c r="J15" s="4">
        <v>3</v>
      </c>
      <c r="K15" s="4"/>
      <c r="L15" s="6">
        <v>4492.08</v>
      </c>
      <c r="M15" s="6">
        <v>7680.24</v>
      </c>
      <c r="N15" s="6">
        <v>7680.24</v>
      </c>
      <c r="O15" s="6">
        <f t="shared" si="0"/>
        <v>4492.08</v>
      </c>
      <c r="P15" s="6">
        <f t="shared" si="1"/>
        <v>4689.7315200000003</v>
      </c>
      <c r="Q15" s="6">
        <f t="shared" si="2"/>
        <v>4900.7694383999997</v>
      </c>
      <c r="S15" s="147">
        <f>'[1]6059IA'!$T$8</f>
        <v>4492.08</v>
      </c>
    </row>
    <row r="16" spans="1:19" hidden="1" x14ac:dyDescent="0.25">
      <c r="A16" s="3" t="s">
        <v>221</v>
      </c>
      <c r="B16" s="3" t="s">
        <v>11</v>
      </c>
      <c r="C16" s="3" t="s">
        <v>203</v>
      </c>
      <c r="D16" s="3" t="s">
        <v>43</v>
      </c>
      <c r="E16" s="3" t="s">
        <v>216</v>
      </c>
      <c r="F16" s="3" t="s">
        <v>37</v>
      </c>
      <c r="G16" s="3" t="s">
        <v>16</v>
      </c>
      <c r="H16" s="3" t="s">
        <v>217</v>
      </c>
      <c r="I16" s="4" t="s">
        <v>38</v>
      </c>
      <c r="J16" s="4">
        <v>1</v>
      </c>
      <c r="K16" s="4"/>
      <c r="L16" s="6">
        <v>0</v>
      </c>
      <c r="M16" s="6">
        <v>0</v>
      </c>
      <c r="N16" s="6"/>
      <c r="O16" s="6">
        <f t="shared" si="0"/>
        <v>0</v>
      </c>
      <c r="P16" s="6">
        <f t="shared" si="1"/>
        <v>0</v>
      </c>
      <c r="Q16" s="6">
        <f t="shared" si="2"/>
        <v>0</v>
      </c>
      <c r="S16" s="147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4"/>
      <c r="J17" s="4"/>
      <c r="K17" s="4"/>
      <c r="L17" s="6"/>
      <c r="M17" s="6"/>
      <c r="N17" s="6"/>
      <c r="O17" s="6"/>
      <c r="P17" s="6"/>
      <c r="Q17" s="6"/>
      <c r="S17" s="147"/>
    </row>
    <row r="18" spans="1:19" hidden="1" x14ac:dyDescent="0.25">
      <c r="A18" s="3" t="s">
        <v>236</v>
      </c>
      <c r="B18" s="3" t="s">
        <v>11</v>
      </c>
      <c r="C18" s="3" t="s">
        <v>12</v>
      </c>
      <c r="D18" s="3" t="s">
        <v>204</v>
      </c>
      <c r="E18" s="3" t="s">
        <v>216</v>
      </c>
      <c r="F18" s="3" t="s">
        <v>37</v>
      </c>
      <c r="G18" s="3" t="s">
        <v>16</v>
      </c>
      <c r="H18" s="3" t="s">
        <v>217</v>
      </c>
      <c r="I18" s="4" t="s">
        <v>38</v>
      </c>
      <c r="J18" s="4">
        <v>1</v>
      </c>
      <c r="K18" s="4"/>
      <c r="L18" s="6">
        <v>0</v>
      </c>
      <c r="M18" s="6">
        <v>0</v>
      </c>
      <c r="N18" s="6"/>
      <c r="O18" s="6">
        <f t="shared" si="0"/>
        <v>0</v>
      </c>
      <c r="P18" s="6">
        <f t="shared" si="1"/>
        <v>0</v>
      </c>
      <c r="Q18" s="6">
        <f t="shared" si="2"/>
        <v>0</v>
      </c>
      <c r="S18" s="147"/>
    </row>
    <row r="19" spans="1:19" x14ac:dyDescent="0.25">
      <c r="A19" s="3" t="s">
        <v>246</v>
      </c>
      <c r="B19" s="3" t="s">
        <v>11</v>
      </c>
      <c r="C19" s="3" t="s">
        <v>12</v>
      </c>
      <c r="D19" s="3" t="s">
        <v>30</v>
      </c>
      <c r="E19" s="3" t="s">
        <v>216</v>
      </c>
      <c r="F19" s="3" t="s">
        <v>15</v>
      </c>
      <c r="G19" s="3" t="s">
        <v>16</v>
      </c>
      <c r="H19" s="3" t="s">
        <v>217</v>
      </c>
      <c r="I19" s="4" t="s">
        <v>18</v>
      </c>
      <c r="J19" s="4">
        <v>3</v>
      </c>
      <c r="K19" s="4"/>
      <c r="L19" s="6">
        <v>15154.513191599999</v>
      </c>
      <c r="M19" s="6">
        <v>16902.059000000001</v>
      </c>
      <c r="N19" s="6">
        <v>16902.059000000001</v>
      </c>
      <c r="O19" s="6">
        <f t="shared" si="0"/>
        <v>15794.119541999999</v>
      </c>
      <c r="P19" s="6">
        <f t="shared" si="1"/>
        <v>16489.060801847998</v>
      </c>
      <c r="Q19" s="6">
        <f t="shared" si="2"/>
        <v>17231.068537931158</v>
      </c>
      <c r="S19" s="147">
        <f>'[1]6059IA'!$Q$8</f>
        <v>15794.119541999999</v>
      </c>
    </row>
    <row r="20" spans="1:19" x14ac:dyDescent="0.25">
      <c r="A20" s="3" t="s">
        <v>224</v>
      </c>
      <c r="B20" s="3" t="s">
        <v>11</v>
      </c>
      <c r="C20" s="3" t="s">
        <v>12</v>
      </c>
      <c r="D20" s="3" t="s">
        <v>20</v>
      </c>
      <c r="E20" s="3" t="s">
        <v>216</v>
      </c>
      <c r="F20" s="3" t="s">
        <v>15</v>
      </c>
      <c r="G20" s="3" t="s">
        <v>16</v>
      </c>
      <c r="H20" s="3" t="s">
        <v>217</v>
      </c>
      <c r="I20" s="4" t="s">
        <v>18</v>
      </c>
      <c r="J20" s="4">
        <v>3</v>
      </c>
      <c r="K20" s="4"/>
      <c r="L20" s="38">
        <v>3500</v>
      </c>
      <c r="M20" s="38">
        <v>3500</v>
      </c>
      <c r="N20" s="38">
        <v>3500</v>
      </c>
      <c r="O20" s="38">
        <v>3500</v>
      </c>
      <c r="P20" s="38">
        <v>3500</v>
      </c>
      <c r="Q20" s="38">
        <v>3500</v>
      </c>
    </row>
    <row r="21" spans="1:19" hidden="1" x14ac:dyDescent="0.25">
      <c r="A21" s="3" t="s">
        <v>225</v>
      </c>
      <c r="B21" s="3" t="s">
        <v>11</v>
      </c>
      <c r="C21" s="3" t="s">
        <v>203</v>
      </c>
      <c r="D21" s="3" t="s">
        <v>20</v>
      </c>
      <c r="E21" s="3" t="s">
        <v>216</v>
      </c>
      <c r="F21" s="3" t="s">
        <v>37</v>
      </c>
      <c r="G21" s="3" t="s">
        <v>16</v>
      </c>
      <c r="H21" s="3" t="s">
        <v>217</v>
      </c>
      <c r="I21" s="4" t="s">
        <v>38</v>
      </c>
      <c r="J21" s="4">
        <v>1</v>
      </c>
      <c r="K21" s="4"/>
      <c r="L21" s="38"/>
      <c r="M21" s="38"/>
      <c r="N21" s="38"/>
      <c r="O21" s="38"/>
      <c r="P21" s="38"/>
      <c r="Q21" s="38"/>
    </row>
    <row r="22" spans="1:19" x14ac:dyDescent="0.25">
      <c r="A22" s="3" t="s">
        <v>229</v>
      </c>
      <c r="B22" s="3" t="s">
        <v>11</v>
      </c>
      <c r="C22" s="3" t="s">
        <v>12</v>
      </c>
      <c r="D22" s="3" t="s">
        <v>24</v>
      </c>
      <c r="E22" s="3" t="s">
        <v>216</v>
      </c>
      <c r="F22" s="3" t="s">
        <v>15</v>
      </c>
      <c r="G22" s="3" t="s">
        <v>16</v>
      </c>
      <c r="H22" s="3" t="s">
        <v>217</v>
      </c>
      <c r="I22" s="4" t="s">
        <v>18</v>
      </c>
      <c r="J22" s="4">
        <v>3</v>
      </c>
      <c r="K22" s="4"/>
      <c r="L22" s="38">
        <v>2200</v>
      </c>
      <c r="M22" s="38">
        <v>2800</v>
      </c>
      <c r="N22" s="38">
        <v>2800</v>
      </c>
      <c r="O22" s="38">
        <v>2800</v>
      </c>
      <c r="P22" s="38">
        <v>2800</v>
      </c>
      <c r="Q22" s="38">
        <v>2800</v>
      </c>
    </row>
    <row r="23" spans="1:19" hidden="1" x14ac:dyDescent="0.25">
      <c r="A23" s="3" t="s">
        <v>230</v>
      </c>
      <c r="B23" s="3" t="s">
        <v>11</v>
      </c>
      <c r="C23" s="3" t="s">
        <v>203</v>
      </c>
      <c r="D23" s="3" t="s">
        <v>24</v>
      </c>
      <c r="E23" s="3" t="s">
        <v>216</v>
      </c>
      <c r="F23" s="3" t="s">
        <v>37</v>
      </c>
      <c r="G23" s="3" t="s">
        <v>16</v>
      </c>
      <c r="H23" s="3" t="s">
        <v>217</v>
      </c>
      <c r="I23" s="4" t="s">
        <v>38</v>
      </c>
      <c r="J23" s="4">
        <v>1</v>
      </c>
      <c r="K23" s="4"/>
      <c r="L23" s="38"/>
      <c r="M23" s="38"/>
      <c r="N23" s="38"/>
      <c r="O23" s="38"/>
      <c r="P23" s="38"/>
      <c r="Q23" s="38"/>
    </row>
    <row r="24" spans="1:19" x14ac:dyDescent="0.25">
      <c r="A24" s="3" t="s">
        <v>234</v>
      </c>
      <c r="B24" s="3" t="s">
        <v>11</v>
      </c>
      <c r="C24" s="3" t="s">
        <v>12</v>
      </c>
      <c r="D24" s="3" t="s">
        <v>28</v>
      </c>
      <c r="E24" s="3" t="s">
        <v>216</v>
      </c>
      <c r="F24" s="3" t="s">
        <v>15</v>
      </c>
      <c r="G24" s="3" t="s">
        <v>16</v>
      </c>
      <c r="H24" s="3" t="s">
        <v>217</v>
      </c>
      <c r="I24" s="4" t="s">
        <v>18</v>
      </c>
      <c r="J24" s="4">
        <v>3</v>
      </c>
      <c r="K24" s="4"/>
      <c r="L24" s="38">
        <v>14000</v>
      </c>
      <c r="M24" s="38">
        <v>14000</v>
      </c>
      <c r="N24" s="38">
        <v>14000</v>
      </c>
      <c r="O24" s="38">
        <v>14000</v>
      </c>
      <c r="P24" s="38">
        <v>14000</v>
      </c>
      <c r="Q24" s="38">
        <v>14000</v>
      </c>
    </row>
    <row r="25" spans="1:19" x14ac:dyDescent="0.25">
      <c r="A25" s="3" t="s">
        <v>235</v>
      </c>
      <c r="B25" s="3" t="s">
        <v>11</v>
      </c>
      <c r="C25" s="3" t="s">
        <v>203</v>
      </c>
      <c r="D25" s="3" t="s">
        <v>28</v>
      </c>
      <c r="E25" s="3" t="s">
        <v>216</v>
      </c>
      <c r="F25" s="3" t="s">
        <v>37</v>
      </c>
      <c r="G25" s="3" t="s">
        <v>16</v>
      </c>
      <c r="H25" s="3" t="s">
        <v>217</v>
      </c>
      <c r="I25" s="4" t="s">
        <v>38</v>
      </c>
      <c r="J25" s="4">
        <v>1</v>
      </c>
      <c r="K25" s="4"/>
      <c r="L25" s="38">
        <v>16000</v>
      </c>
      <c r="M25" s="38">
        <v>16000</v>
      </c>
      <c r="N25" s="38">
        <v>16000</v>
      </c>
      <c r="O25" s="38">
        <v>16000</v>
      </c>
      <c r="P25" s="38">
        <v>16000</v>
      </c>
      <c r="Q25" s="38">
        <v>16000</v>
      </c>
    </row>
    <row r="26" spans="1:19" x14ac:dyDescent="0.25">
      <c r="A26" s="3" t="s">
        <v>222</v>
      </c>
      <c r="B26" s="3" t="s">
        <v>11</v>
      </c>
      <c r="C26" s="3" t="s">
        <v>12</v>
      </c>
      <c r="D26" s="3" t="s">
        <v>13</v>
      </c>
      <c r="E26" s="3" t="s">
        <v>216</v>
      </c>
      <c r="F26" s="3" t="s">
        <v>15</v>
      </c>
      <c r="G26" s="3" t="s">
        <v>16</v>
      </c>
      <c r="H26" s="3" t="s">
        <v>217</v>
      </c>
      <c r="I26" s="4" t="s">
        <v>18</v>
      </c>
      <c r="J26" s="4">
        <v>3</v>
      </c>
      <c r="K26" s="4"/>
      <c r="L26" s="38">
        <v>11000</v>
      </c>
      <c r="M26" s="38">
        <v>17000</v>
      </c>
      <c r="N26" s="38">
        <v>17000</v>
      </c>
      <c r="O26" s="38">
        <v>17000</v>
      </c>
      <c r="P26" s="38">
        <v>17000</v>
      </c>
      <c r="Q26" s="38">
        <v>17000</v>
      </c>
    </row>
    <row r="27" spans="1:19" hidden="1" x14ac:dyDescent="0.25">
      <c r="A27" s="3" t="s">
        <v>223</v>
      </c>
      <c r="B27" s="3" t="s">
        <v>11</v>
      </c>
      <c r="C27" s="3" t="s">
        <v>203</v>
      </c>
      <c r="D27" s="3" t="s">
        <v>13</v>
      </c>
      <c r="E27" s="3" t="s">
        <v>216</v>
      </c>
      <c r="F27" s="3" t="s">
        <v>37</v>
      </c>
      <c r="G27" s="3" t="s">
        <v>16</v>
      </c>
      <c r="H27" s="3" t="s">
        <v>217</v>
      </c>
      <c r="I27" s="4" t="s">
        <v>38</v>
      </c>
      <c r="J27" s="4">
        <v>1</v>
      </c>
      <c r="K27" s="4"/>
      <c r="L27" s="38">
        <v>0</v>
      </c>
      <c r="M27" s="38"/>
      <c r="N27" s="38"/>
      <c r="O27" s="38"/>
      <c r="P27" s="38"/>
      <c r="Q27" s="38"/>
    </row>
    <row r="28" spans="1:19" hidden="1" x14ac:dyDescent="0.25">
      <c r="A28" s="3" t="s">
        <v>241</v>
      </c>
      <c r="B28" s="3" t="s">
        <v>11</v>
      </c>
      <c r="C28" s="3" t="s">
        <v>12</v>
      </c>
      <c r="D28" s="3" t="s">
        <v>32</v>
      </c>
      <c r="E28" s="3" t="s">
        <v>216</v>
      </c>
      <c r="F28" s="3" t="s">
        <v>15</v>
      </c>
      <c r="G28" s="3" t="s">
        <v>16</v>
      </c>
      <c r="H28" s="3" t="s">
        <v>217</v>
      </c>
      <c r="I28" s="4" t="s">
        <v>18</v>
      </c>
      <c r="J28" s="4">
        <v>3</v>
      </c>
      <c r="K28" s="4"/>
      <c r="L28" s="38">
        <v>0</v>
      </c>
      <c r="M28" s="38"/>
      <c r="N28" s="38"/>
      <c r="O28" s="38"/>
      <c r="P28" s="38"/>
      <c r="Q28" s="38"/>
    </row>
    <row r="29" spans="1:19" x14ac:dyDescent="0.25">
      <c r="A29" s="3" t="s">
        <v>242</v>
      </c>
      <c r="B29" s="3" t="s">
        <v>11</v>
      </c>
      <c r="C29" s="3" t="s">
        <v>203</v>
      </c>
      <c r="D29" s="3" t="s">
        <v>32</v>
      </c>
      <c r="E29" s="3" t="s">
        <v>216</v>
      </c>
      <c r="F29" s="3" t="s">
        <v>37</v>
      </c>
      <c r="G29" s="3" t="s">
        <v>16</v>
      </c>
      <c r="H29" s="3" t="s">
        <v>217</v>
      </c>
      <c r="I29" s="4" t="s">
        <v>38</v>
      </c>
      <c r="J29" s="4">
        <v>1</v>
      </c>
      <c r="K29" s="4"/>
      <c r="L29" s="38">
        <v>10000</v>
      </c>
      <c r="M29" s="38">
        <v>0</v>
      </c>
      <c r="N29" s="38">
        <v>0</v>
      </c>
      <c r="O29" s="38">
        <v>10000</v>
      </c>
      <c r="P29" s="38">
        <v>10000</v>
      </c>
      <c r="Q29" s="38">
        <v>10000</v>
      </c>
    </row>
    <row r="30" spans="1:19" hidden="1" x14ac:dyDescent="0.25">
      <c r="A30" s="3" t="s">
        <v>232</v>
      </c>
      <c r="B30" s="3" t="s">
        <v>11</v>
      </c>
      <c r="C30" s="3" t="s">
        <v>12</v>
      </c>
      <c r="D30" s="3" t="s">
        <v>26</v>
      </c>
      <c r="E30" s="3" t="s">
        <v>216</v>
      </c>
      <c r="F30" s="3" t="s">
        <v>15</v>
      </c>
      <c r="G30" s="3" t="s">
        <v>16</v>
      </c>
      <c r="H30" s="3" t="s">
        <v>217</v>
      </c>
      <c r="I30" s="4" t="s">
        <v>18</v>
      </c>
      <c r="J30" s="4">
        <v>3</v>
      </c>
      <c r="K30" s="4"/>
      <c r="L30" s="38"/>
      <c r="M30" s="38"/>
      <c r="N30" s="38"/>
      <c r="O30" s="38"/>
      <c r="P30" s="38"/>
      <c r="Q30" s="38"/>
    </row>
    <row r="31" spans="1:19" x14ac:dyDescent="0.25">
      <c r="A31" s="3" t="s">
        <v>233</v>
      </c>
      <c r="B31" s="3" t="s">
        <v>11</v>
      </c>
      <c r="C31" s="3" t="s">
        <v>203</v>
      </c>
      <c r="D31" s="3" t="s">
        <v>26</v>
      </c>
      <c r="E31" s="3" t="s">
        <v>216</v>
      </c>
      <c r="F31" s="3" t="s">
        <v>37</v>
      </c>
      <c r="G31" s="3" t="s">
        <v>16</v>
      </c>
      <c r="H31" s="3" t="s">
        <v>217</v>
      </c>
      <c r="I31" s="4" t="s">
        <v>38</v>
      </c>
      <c r="J31" s="4">
        <v>1</v>
      </c>
      <c r="K31" s="4"/>
      <c r="L31" s="38">
        <v>2000</v>
      </c>
      <c r="M31" s="38">
        <v>0</v>
      </c>
      <c r="N31" s="38">
        <v>0</v>
      </c>
      <c r="O31" s="38">
        <v>2000</v>
      </c>
      <c r="P31" s="38">
        <v>2000</v>
      </c>
      <c r="Q31" s="38">
        <v>2000</v>
      </c>
    </row>
    <row r="32" spans="1:19" hidden="1" x14ac:dyDescent="0.25">
      <c r="A32" s="3" t="s">
        <v>226</v>
      </c>
      <c r="B32" s="3" t="s">
        <v>11</v>
      </c>
      <c r="C32" s="3" t="s">
        <v>12</v>
      </c>
      <c r="D32" s="3" t="s">
        <v>147</v>
      </c>
      <c r="E32" s="3" t="s">
        <v>216</v>
      </c>
      <c r="F32" s="3" t="s">
        <v>37</v>
      </c>
      <c r="G32" s="3" t="s">
        <v>16</v>
      </c>
      <c r="H32" s="3" t="s">
        <v>217</v>
      </c>
      <c r="I32" s="4" t="s">
        <v>38</v>
      </c>
      <c r="J32" s="4">
        <v>1</v>
      </c>
      <c r="K32" s="4"/>
      <c r="L32" s="38"/>
      <c r="M32" s="38"/>
      <c r="N32" s="38"/>
      <c r="O32" s="38"/>
      <c r="P32" s="38"/>
      <c r="Q32" s="38"/>
    </row>
    <row r="33" spans="1:19" s="151" customFormat="1" x14ac:dyDescent="0.25">
      <c r="A33" s="148" t="s">
        <v>227</v>
      </c>
      <c r="B33" s="148" t="s">
        <v>11</v>
      </c>
      <c r="C33" s="148" t="s">
        <v>228</v>
      </c>
      <c r="D33" s="148" t="s">
        <v>22</v>
      </c>
      <c r="E33" s="148" t="s">
        <v>216</v>
      </c>
      <c r="F33" s="148" t="s">
        <v>15</v>
      </c>
      <c r="G33" s="148" t="s">
        <v>16</v>
      </c>
      <c r="H33" s="148" t="s">
        <v>217</v>
      </c>
      <c r="I33" s="149" t="s">
        <v>18</v>
      </c>
      <c r="J33" s="149">
        <v>3</v>
      </c>
      <c r="K33" s="149"/>
      <c r="L33" s="150">
        <v>5500</v>
      </c>
      <c r="M33" s="150">
        <v>6000</v>
      </c>
      <c r="N33" s="150">
        <v>6000</v>
      </c>
      <c r="O33" s="150">
        <v>6000</v>
      </c>
      <c r="P33" s="150">
        <v>6000</v>
      </c>
      <c r="Q33" s="150">
        <v>6000</v>
      </c>
      <c r="S33" s="152"/>
    </row>
    <row r="34" spans="1:19" s="107" customFormat="1" x14ac:dyDescent="0.25">
      <c r="A34" s="52" t="s">
        <v>237</v>
      </c>
      <c r="B34" s="52" t="s">
        <v>11</v>
      </c>
      <c r="C34" s="52" t="s">
        <v>12</v>
      </c>
      <c r="D34" s="52" t="s">
        <v>1679</v>
      </c>
      <c r="E34" s="52" t="s">
        <v>216</v>
      </c>
      <c r="F34" s="52" t="s">
        <v>15</v>
      </c>
      <c r="G34" s="52" t="s">
        <v>16</v>
      </c>
      <c r="H34" s="52" t="s">
        <v>217</v>
      </c>
      <c r="I34" s="104" t="s">
        <v>18</v>
      </c>
      <c r="J34" s="104">
        <v>3</v>
      </c>
      <c r="K34" s="104"/>
      <c r="L34" s="105">
        <v>200000</v>
      </c>
      <c r="M34" s="105">
        <v>200000</v>
      </c>
      <c r="N34" s="105">
        <v>200000</v>
      </c>
      <c r="O34" s="105">
        <v>200000</v>
      </c>
      <c r="P34" s="105">
        <v>200000</v>
      </c>
      <c r="Q34" s="105">
        <v>200000</v>
      </c>
      <c r="S34" s="106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4"/>
      <c r="J35" s="4"/>
      <c r="K35" s="4"/>
    </row>
    <row r="36" spans="1:19" ht="15.75" thickBot="1" x14ac:dyDescent="0.3">
      <c r="A36" s="16" t="s">
        <v>1203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>
        <f t="shared" ref="L36:Q36" si="3">SUM(L5:L35)</f>
        <v>2765377.9724968006</v>
      </c>
      <c r="M36" s="17">
        <f t="shared" si="3"/>
        <v>2760083.3670000001</v>
      </c>
      <c r="N36" s="17">
        <f t="shared" si="3"/>
        <v>2760083.3670000001</v>
      </c>
      <c r="O36" s="17">
        <f t="shared" si="3"/>
        <v>2906846.0031559994</v>
      </c>
      <c r="P36" s="17">
        <f t="shared" si="3"/>
        <v>3022810.027294863</v>
      </c>
      <c r="Q36" s="17">
        <f t="shared" si="3"/>
        <v>3146627.9785231315</v>
      </c>
    </row>
    <row r="37" spans="1:19" x14ac:dyDescent="0.25">
      <c r="O37" s="2"/>
    </row>
    <row r="38" spans="1:19" x14ac:dyDescent="0.25">
      <c r="O38" s="183"/>
    </row>
  </sheetData>
  <sortState xmlns:xlrd2="http://schemas.microsoft.com/office/spreadsheetml/2017/richdata2" ref="A2:Z29">
    <sortCondition ref="D2:D29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S33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1" customWidth="1"/>
    <col min="2" max="3" width="9.125" style="1" hidden="1" customWidth="1"/>
    <col min="4" max="4" width="34.125" style="1" customWidth="1"/>
    <col min="5" max="11" width="9.125" style="1" hidden="1" customWidth="1"/>
    <col min="12" max="12" width="12.875" style="2" bestFit="1" customWidth="1"/>
    <col min="13" max="13" width="12.625" style="1" bestFit="1" customWidth="1"/>
    <col min="14" max="17" width="12.625" style="161" customWidth="1"/>
    <col min="18" max="18" width="9.125" style="1"/>
    <col min="19" max="19" width="12.625" style="2" bestFit="1" customWidth="1"/>
    <col min="20" max="16384" width="9.125" style="1"/>
  </cols>
  <sheetData>
    <row r="1" spans="1:19" ht="15.75" x14ac:dyDescent="0.25">
      <c r="A1" s="47" t="s">
        <v>1597</v>
      </c>
      <c r="B1" s="47"/>
      <c r="C1" s="47"/>
      <c r="D1" s="47"/>
    </row>
    <row r="2" spans="1:19" ht="15.75" x14ac:dyDescent="0.25">
      <c r="A2" s="19" t="s">
        <v>2342</v>
      </c>
      <c r="B2" s="19"/>
      <c r="C2" s="47"/>
      <c r="D2" s="47"/>
    </row>
    <row r="3" spans="1:19" ht="15.75" x14ac:dyDescent="0.25">
      <c r="A3" s="47" t="s">
        <v>248</v>
      </c>
      <c r="B3" s="47"/>
      <c r="C3" s="47"/>
      <c r="D3" s="47"/>
    </row>
    <row r="4" spans="1:19" ht="70.5" customHeight="1" x14ac:dyDescent="0.25">
      <c r="A4" s="1" t="s">
        <v>1202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" t="s">
        <v>258</v>
      </c>
      <c r="B5" s="3" t="s">
        <v>11</v>
      </c>
      <c r="C5" s="3" t="s">
        <v>12</v>
      </c>
      <c r="D5" s="3" t="s">
        <v>157</v>
      </c>
      <c r="E5" s="3" t="s">
        <v>251</v>
      </c>
      <c r="F5" s="3" t="s">
        <v>15</v>
      </c>
      <c r="G5" s="3" t="s">
        <v>16</v>
      </c>
      <c r="H5" s="3" t="s">
        <v>248</v>
      </c>
      <c r="I5" s="4" t="s">
        <v>18</v>
      </c>
      <c r="J5" s="4">
        <v>3</v>
      </c>
      <c r="K5" s="4"/>
      <c r="L5" s="6">
        <v>2884470.7142399997</v>
      </c>
      <c r="M5" s="6">
        <v>2494026.5</v>
      </c>
      <c r="N5" s="6">
        <v>2494026.5</v>
      </c>
      <c r="O5" s="6">
        <f>S5</f>
        <v>3010126.1443199995</v>
      </c>
      <c r="P5" s="6">
        <f>O5*1.044</f>
        <v>3142571.6946700797</v>
      </c>
      <c r="Q5" s="6">
        <f>P5*1.045</f>
        <v>3283987.4209302333</v>
      </c>
      <c r="S5" s="147">
        <f>'[1]6103HRM'!$E$11</f>
        <v>3010126.1443199995</v>
      </c>
    </row>
    <row r="6" spans="1:19" s="35" customFormat="1" hidden="1" x14ac:dyDescent="0.25">
      <c r="A6" s="31" t="s">
        <v>1171</v>
      </c>
      <c r="B6" s="31" t="s">
        <v>11</v>
      </c>
      <c r="C6" s="31" t="s">
        <v>12</v>
      </c>
      <c r="D6" s="31" t="s">
        <v>249</v>
      </c>
      <c r="E6" s="31" t="s">
        <v>251</v>
      </c>
      <c r="F6" s="31" t="s">
        <v>15</v>
      </c>
      <c r="G6" s="31" t="s">
        <v>16</v>
      </c>
      <c r="H6" s="31" t="s">
        <v>250</v>
      </c>
      <c r="I6" s="32" t="s">
        <v>18</v>
      </c>
      <c r="J6" s="32">
        <v>3</v>
      </c>
      <c r="K6" s="32"/>
      <c r="L6" s="34"/>
      <c r="M6" s="6">
        <v>0</v>
      </c>
      <c r="N6" s="6">
        <v>0</v>
      </c>
      <c r="O6" s="6">
        <f t="shared" ref="O6:O16" si="0">S6</f>
        <v>0</v>
      </c>
      <c r="P6" s="6">
        <f t="shared" ref="P6:P17" si="1">O6*1.044</f>
        <v>0</v>
      </c>
      <c r="Q6" s="6">
        <f t="shared" ref="Q6:Q17" si="2">P6*1.045</f>
        <v>0</v>
      </c>
      <c r="S6" s="145"/>
    </row>
    <row r="7" spans="1:19" s="35" customFormat="1" x14ac:dyDescent="0.25">
      <c r="A7" s="31" t="s">
        <v>278</v>
      </c>
      <c r="B7" s="31" t="s">
        <v>11</v>
      </c>
      <c r="C7" s="31" t="s">
        <v>12</v>
      </c>
      <c r="D7" s="31" t="s">
        <v>1630</v>
      </c>
      <c r="E7" s="31" t="s">
        <v>251</v>
      </c>
      <c r="F7" s="31" t="s">
        <v>15</v>
      </c>
      <c r="G7" s="31" t="s">
        <v>16</v>
      </c>
      <c r="H7" s="31" t="s">
        <v>248</v>
      </c>
      <c r="I7" s="32" t="s">
        <v>18</v>
      </c>
      <c r="J7" s="32">
        <v>3</v>
      </c>
      <c r="K7" s="32"/>
      <c r="L7" s="34">
        <v>50000</v>
      </c>
      <c r="M7" s="6">
        <v>30000</v>
      </c>
      <c r="N7" s="6">
        <v>30000</v>
      </c>
      <c r="O7" s="6">
        <v>30000</v>
      </c>
      <c r="P7" s="6">
        <f t="shared" si="1"/>
        <v>31320</v>
      </c>
      <c r="Q7" s="6">
        <f t="shared" si="2"/>
        <v>32729.399999999998</v>
      </c>
      <c r="S7" s="145"/>
    </row>
    <row r="8" spans="1:19" x14ac:dyDescent="0.25">
      <c r="A8" s="3" t="s">
        <v>265</v>
      </c>
      <c r="B8" s="3" t="s">
        <v>11</v>
      </c>
      <c r="C8" s="3" t="s">
        <v>12</v>
      </c>
      <c r="D8" s="3" t="s">
        <v>153</v>
      </c>
      <c r="E8" s="3" t="s">
        <v>251</v>
      </c>
      <c r="F8" s="3" t="s">
        <v>15</v>
      </c>
      <c r="G8" s="3" t="s">
        <v>16</v>
      </c>
      <c r="H8" s="3" t="s">
        <v>248</v>
      </c>
      <c r="I8" s="4" t="s">
        <v>18</v>
      </c>
      <c r="J8" s="4">
        <v>3</v>
      </c>
      <c r="K8" s="4"/>
      <c r="L8" s="6">
        <v>240372.55951999998</v>
      </c>
      <c r="M8" s="6">
        <v>198398.66</v>
      </c>
      <c r="N8" s="6">
        <v>198398.66</v>
      </c>
      <c r="O8" s="6">
        <f t="shared" si="0"/>
        <v>250843.84535999995</v>
      </c>
      <c r="P8" s="6">
        <f t="shared" si="1"/>
        <v>261880.97455583996</v>
      </c>
      <c r="Q8" s="6">
        <f t="shared" si="2"/>
        <v>273665.61841085274</v>
      </c>
      <c r="S8" s="147">
        <f>'[1]6103HRM'!$I$11</f>
        <v>250843.84535999995</v>
      </c>
    </row>
    <row r="9" spans="1:19" x14ac:dyDescent="0.25">
      <c r="A9" s="3" t="s">
        <v>266</v>
      </c>
      <c r="B9" s="3" t="s">
        <v>11</v>
      </c>
      <c r="C9" s="3" t="s">
        <v>12</v>
      </c>
      <c r="D9" s="3" t="s">
        <v>155</v>
      </c>
      <c r="E9" s="3" t="s">
        <v>251</v>
      </c>
      <c r="F9" s="3" t="s">
        <v>15</v>
      </c>
      <c r="G9" s="3" t="s">
        <v>16</v>
      </c>
      <c r="H9" s="3" t="s">
        <v>248</v>
      </c>
      <c r="I9" s="4" t="s">
        <v>18</v>
      </c>
      <c r="J9" s="4">
        <v>3</v>
      </c>
      <c r="K9" s="4"/>
      <c r="L9" s="6">
        <v>34225.425709599993</v>
      </c>
      <c r="M9" s="6">
        <v>34225.425709599993</v>
      </c>
      <c r="N9" s="6">
        <v>34225.425709599993</v>
      </c>
      <c r="O9" s="6">
        <f t="shared" si="0"/>
        <v>0</v>
      </c>
      <c r="P9" s="6">
        <f t="shared" si="1"/>
        <v>0</v>
      </c>
      <c r="Q9" s="6">
        <f t="shared" si="2"/>
        <v>0</v>
      </c>
      <c r="S9" s="147">
        <f>'[2]6103HRM'!$J$11</f>
        <v>0</v>
      </c>
    </row>
    <row r="10" spans="1:19" s="35" customFormat="1" x14ac:dyDescent="0.25">
      <c r="A10" s="31" t="s">
        <v>260</v>
      </c>
      <c r="B10" s="31" t="s">
        <v>11</v>
      </c>
      <c r="C10" s="31" t="s">
        <v>12</v>
      </c>
      <c r="D10" s="31" t="s">
        <v>41</v>
      </c>
      <c r="E10" s="31" t="s">
        <v>251</v>
      </c>
      <c r="F10" s="31" t="s">
        <v>15</v>
      </c>
      <c r="G10" s="31" t="s">
        <v>16</v>
      </c>
      <c r="H10" s="31" t="s">
        <v>248</v>
      </c>
      <c r="I10" s="32" t="s">
        <v>18</v>
      </c>
      <c r="J10" s="32">
        <v>3</v>
      </c>
      <c r="K10" s="32"/>
      <c r="L10" s="6">
        <v>634583.55713279999</v>
      </c>
      <c r="M10" s="6">
        <v>539297.46380000003</v>
      </c>
      <c r="N10" s="6">
        <v>539297.46380000003</v>
      </c>
      <c r="O10" s="6">
        <f t="shared" si="0"/>
        <v>662227.75175039994</v>
      </c>
      <c r="P10" s="6">
        <f t="shared" si="1"/>
        <v>691365.77282741759</v>
      </c>
      <c r="Q10" s="6">
        <f t="shared" si="2"/>
        <v>722477.23260465136</v>
      </c>
      <c r="S10" s="145">
        <f>'[1]6103HRM'!$K$11</f>
        <v>662227.75175039994</v>
      </c>
    </row>
    <row r="11" spans="1:19" x14ac:dyDescent="0.25">
      <c r="A11" s="3" t="s">
        <v>259</v>
      </c>
      <c r="B11" s="3" t="s">
        <v>11</v>
      </c>
      <c r="C11" s="3" t="s">
        <v>12</v>
      </c>
      <c r="D11" s="3" t="s">
        <v>36</v>
      </c>
      <c r="E11" s="3" t="s">
        <v>251</v>
      </c>
      <c r="F11" s="3" t="s">
        <v>15</v>
      </c>
      <c r="G11" s="3" t="s">
        <v>16</v>
      </c>
      <c r="H11" s="3" t="s">
        <v>248</v>
      </c>
      <c r="I11" s="4" t="s">
        <v>18</v>
      </c>
      <c r="J11" s="4">
        <v>3</v>
      </c>
      <c r="K11" s="4"/>
      <c r="L11" s="6">
        <v>262686.24</v>
      </c>
      <c r="M11" s="6">
        <v>238332.96</v>
      </c>
      <c r="N11" s="6">
        <v>238332.96</v>
      </c>
      <c r="O11" s="6">
        <f t="shared" si="0"/>
        <v>266971.68</v>
      </c>
      <c r="P11" s="6">
        <f t="shared" si="1"/>
        <v>278718.43391999998</v>
      </c>
      <c r="Q11" s="6">
        <f t="shared" si="2"/>
        <v>291260.76344639994</v>
      </c>
      <c r="S11" s="147">
        <f>'[1]6103HRM'!$L$11</f>
        <v>266971.68</v>
      </c>
    </row>
    <row r="12" spans="1:19" x14ac:dyDescent="0.25">
      <c r="A12" s="3" t="s">
        <v>273</v>
      </c>
      <c r="B12" s="3" t="s">
        <v>11</v>
      </c>
      <c r="C12" s="3" t="s">
        <v>12</v>
      </c>
      <c r="D12" s="3" t="s">
        <v>47</v>
      </c>
      <c r="E12" s="3" t="s">
        <v>251</v>
      </c>
      <c r="F12" s="3" t="s">
        <v>15</v>
      </c>
      <c r="G12" s="3" t="s">
        <v>16</v>
      </c>
      <c r="H12" s="3" t="s">
        <v>248</v>
      </c>
      <c r="I12" s="4" t="s">
        <v>18</v>
      </c>
      <c r="J12" s="4">
        <v>3</v>
      </c>
      <c r="K12" s="4"/>
      <c r="L12" s="6">
        <v>557242.32000000007</v>
      </c>
      <c r="M12" s="6">
        <v>502172.47</v>
      </c>
      <c r="N12" s="6">
        <v>502172.47</v>
      </c>
      <c r="O12" s="6">
        <f t="shared" si="0"/>
        <v>618851.38187999988</v>
      </c>
      <c r="P12" s="6">
        <f t="shared" si="1"/>
        <v>646080.84268271993</v>
      </c>
      <c r="Q12" s="6">
        <f t="shared" si="2"/>
        <v>675154.48060344229</v>
      </c>
      <c r="S12" s="147">
        <f>'[1]6103HRM'!$M$11</f>
        <v>618851.38187999988</v>
      </c>
    </row>
    <row r="13" spans="1:19" x14ac:dyDescent="0.25">
      <c r="A13" s="3" t="s">
        <v>254</v>
      </c>
      <c r="B13" s="3" t="s">
        <v>11</v>
      </c>
      <c r="C13" s="3" t="s">
        <v>12</v>
      </c>
      <c r="D13" s="3" t="s">
        <v>45</v>
      </c>
      <c r="E13" s="3" t="s">
        <v>251</v>
      </c>
      <c r="F13" s="3" t="s">
        <v>37</v>
      </c>
      <c r="G13" s="3" t="s">
        <v>16</v>
      </c>
      <c r="H13" s="3" t="s">
        <v>255</v>
      </c>
      <c r="I13" s="4" t="s">
        <v>38</v>
      </c>
      <c r="J13" s="4">
        <v>3</v>
      </c>
      <c r="K13" s="4"/>
      <c r="L13" s="6">
        <v>41685</v>
      </c>
      <c r="M13" s="6">
        <v>28660.46</v>
      </c>
      <c r="N13" s="6">
        <v>28660.46</v>
      </c>
      <c r="O13" s="6">
        <f t="shared" si="0"/>
        <v>44901.395999999993</v>
      </c>
      <c r="P13" s="6">
        <f t="shared" si="1"/>
        <v>46877.057423999991</v>
      </c>
      <c r="Q13" s="6">
        <f t="shared" si="2"/>
        <v>48986.525008079989</v>
      </c>
      <c r="S13" s="147">
        <f>'[1]6103HRM'!$N$11</f>
        <v>44901.395999999993</v>
      </c>
    </row>
    <row r="14" spans="1:19" x14ac:dyDescent="0.25">
      <c r="A14" s="3" t="s">
        <v>276</v>
      </c>
      <c r="B14" s="3" t="s">
        <v>11</v>
      </c>
      <c r="C14" s="3" t="s">
        <v>12</v>
      </c>
      <c r="D14" s="3" t="s">
        <v>156</v>
      </c>
      <c r="E14" s="3" t="s">
        <v>251</v>
      </c>
      <c r="F14" s="3" t="s">
        <v>15</v>
      </c>
      <c r="G14" s="3" t="s">
        <v>16</v>
      </c>
      <c r="H14" s="3" t="s">
        <v>248</v>
      </c>
      <c r="I14" s="4" t="s">
        <v>18</v>
      </c>
      <c r="J14" s="4">
        <v>3</v>
      </c>
      <c r="K14" s="4"/>
      <c r="L14" s="6">
        <v>24282.503759999996</v>
      </c>
      <c r="M14" s="6">
        <v>23148.239999999998</v>
      </c>
      <c r="N14" s="6">
        <v>23148.239999999998</v>
      </c>
      <c r="O14" s="6">
        <f t="shared" si="0"/>
        <v>24282.503759999996</v>
      </c>
      <c r="P14" s="6">
        <f t="shared" si="1"/>
        <v>25350.933925439997</v>
      </c>
      <c r="Q14" s="6">
        <f t="shared" si="2"/>
        <v>26491.725952084795</v>
      </c>
      <c r="S14" s="147">
        <f>'[1]6103HRM'!$P$11</f>
        <v>24282.503759999996</v>
      </c>
    </row>
    <row r="15" spans="1:19" x14ac:dyDescent="0.25">
      <c r="A15" s="3" t="s">
        <v>267</v>
      </c>
      <c r="B15" s="3" t="s">
        <v>11</v>
      </c>
      <c r="C15" s="3" t="s">
        <v>12</v>
      </c>
      <c r="D15" s="3" t="s">
        <v>151</v>
      </c>
      <c r="E15" s="3" t="s">
        <v>251</v>
      </c>
      <c r="F15" s="3" t="s">
        <v>15</v>
      </c>
      <c r="G15" s="3" t="s">
        <v>16</v>
      </c>
      <c r="H15" s="3" t="s">
        <v>248</v>
      </c>
      <c r="I15" s="4" t="s">
        <v>18</v>
      </c>
      <c r="J15" s="4">
        <v>3</v>
      </c>
      <c r="K15" s="4"/>
      <c r="L15" s="6">
        <v>831.59999999999991</v>
      </c>
      <c r="M15" s="6">
        <v>700.3</v>
      </c>
      <c r="N15" s="6">
        <v>700.3</v>
      </c>
      <c r="O15" s="6">
        <f t="shared" si="0"/>
        <v>865.2</v>
      </c>
      <c r="P15" s="6">
        <f t="shared" si="1"/>
        <v>903.26880000000006</v>
      </c>
      <c r="Q15" s="6">
        <f t="shared" si="2"/>
        <v>943.91589599999998</v>
      </c>
      <c r="S15" s="147">
        <f>'[1]6103HRM'!$R$11</f>
        <v>865.2</v>
      </c>
    </row>
    <row r="16" spans="1:19" x14ac:dyDescent="0.25">
      <c r="A16" s="3" t="s">
        <v>268</v>
      </c>
      <c r="B16" s="3" t="s">
        <v>11</v>
      </c>
      <c r="C16" s="3" t="s">
        <v>12</v>
      </c>
      <c r="D16" s="3" t="s">
        <v>43</v>
      </c>
      <c r="E16" s="3" t="s">
        <v>251</v>
      </c>
      <c r="F16" s="3" t="s">
        <v>15</v>
      </c>
      <c r="G16" s="3" t="s">
        <v>16</v>
      </c>
      <c r="H16" s="3" t="s">
        <v>248</v>
      </c>
      <c r="I16" s="4" t="s">
        <v>18</v>
      </c>
      <c r="J16" s="4">
        <v>3</v>
      </c>
      <c r="K16" s="4"/>
      <c r="L16" s="6">
        <v>10481.52</v>
      </c>
      <c r="M16" s="6">
        <v>14281.405299999999</v>
      </c>
      <c r="N16" s="6">
        <v>14281.405299999999</v>
      </c>
      <c r="O16" s="6">
        <f t="shared" si="0"/>
        <v>10481.52</v>
      </c>
      <c r="P16" s="6">
        <f t="shared" si="1"/>
        <v>10942.706880000002</v>
      </c>
      <c r="Q16" s="6">
        <f t="shared" si="2"/>
        <v>11435.1286896</v>
      </c>
      <c r="S16" s="147">
        <f>'[1]6103HRM'!$T$11</f>
        <v>10481.52</v>
      </c>
    </row>
    <row r="17" spans="1:19" x14ac:dyDescent="0.25">
      <c r="A17" s="3" t="s">
        <v>256</v>
      </c>
      <c r="B17" s="3" t="s">
        <v>11</v>
      </c>
      <c r="C17" s="3" t="s">
        <v>12</v>
      </c>
      <c r="D17" s="3" t="s">
        <v>1669</v>
      </c>
      <c r="E17" s="3" t="s">
        <v>251</v>
      </c>
      <c r="F17" s="3" t="s">
        <v>37</v>
      </c>
      <c r="G17" s="3" t="s">
        <v>16</v>
      </c>
      <c r="H17" s="3" t="s">
        <v>255</v>
      </c>
      <c r="I17" s="4" t="s">
        <v>38</v>
      </c>
      <c r="J17" s="4">
        <v>3</v>
      </c>
      <c r="K17" s="4"/>
      <c r="L17" s="38">
        <v>400000</v>
      </c>
      <c r="M17" s="6">
        <v>400000</v>
      </c>
      <c r="N17" s="6">
        <v>400000</v>
      </c>
      <c r="O17" s="6">
        <v>400000</v>
      </c>
      <c r="P17" s="6">
        <f t="shared" si="1"/>
        <v>417600</v>
      </c>
      <c r="Q17" s="6">
        <f t="shared" si="2"/>
        <v>436391.99999999994</v>
      </c>
      <c r="S17" s="14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4"/>
      <c r="J18" s="4"/>
      <c r="K18" s="4"/>
      <c r="M18" s="6"/>
      <c r="N18" s="6"/>
      <c r="O18" s="6"/>
      <c r="P18" s="6"/>
      <c r="Q18" s="6"/>
      <c r="S18" s="147"/>
    </row>
    <row r="19" spans="1:19" x14ac:dyDescent="0.25">
      <c r="A19" s="3" t="s">
        <v>275</v>
      </c>
      <c r="B19" s="3" t="s">
        <v>11</v>
      </c>
      <c r="C19" s="3" t="s">
        <v>12</v>
      </c>
      <c r="D19" s="3" t="s">
        <v>30</v>
      </c>
      <c r="E19" s="3" t="s">
        <v>251</v>
      </c>
      <c r="F19" s="3" t="s">
        <v>15</v>
      </c>
      <c r="G19" s="3" t="s">
        <v>16</v>
      </c>
      <c r="H19" s="3" t="s">
        <v>248</v>
      </c>
      <c r="I19" s="4" t="s">
        <v>18</v>
      </c>
      <c r="J19" s="4">
        <v>3</v>
      </c>
      <c r="K19" s="4"/>
      <c r="L19" s="6">
        <v>28844.707142399999</v>
      </c>
      <c r="M19" s="6">
        <v>27455.892831640624</v>
      </c>
      <c r="N19" s="6">
        <v>27455.892831640624</v>
      </c>
      <c r="O19" s="6">
        <f>S19</f>
        <v>30101.261443199997</v>
      </c>
      <c r="P19" s="6">
        <f>O19*1.044</f>
        <v>31425.716946700799</v>
      </c>
      <c r="Q19" s="6">
        <f>P19*1.045</f>
        <v>32839.874209302332</v>
      </c>
      <c r="S19" s="147">
        <f>'[1]6103HRM'!$Q$11</f>
        <v>30101.261443199997</v>
      </c>
    </row>
    <row r="20" spans="1:19" s="35" customFormat="1" x14ac:dyDescent="0.25">
      <c r="A20" s="31" t="s">
        <v>262</v>
      </c>
      <c r="B20" s="31" t="s">
        <v>11</v>
      </c>
      <c r="C20" s="31" t="s">
        <v>12</v>
      </c>
      <c r="D20" s="31" t="s">
        <v>1670</v>
      </c>
      <c r="E20" s="31" t="s">
        <v>251</v>
      </c>
      <c r="F20" s="31" t="s">
        <v>15</v>
      </c>
      <c r="G20" s="31" t="s">
        <v>16</v>
      </c>
      <c r="H20" s="31" t="s">
        <v>248</v>
      </c>
      <c r="I20" s="32" t="s">
        <v>18</v>
      </c>
      <c r="J20" s="32">
        <v>1</v>
      </c>
      <c r="K20" s="32"/>
      <c r="L20" s="43">
        <v>160000</v>
      </c>
      <c r="M20" s="43">
        <v>160000</v>
      </c>
      <c r="N20" s="43">
        <v>160000</v>
      </c>
      <c r="O20" s="34">
        <v>170000</v>
      </c>
      <c r="P20" s="34">
        <v>180000</v>
      </c>
      <c r="Q20" s="34">
        <v>190000</v>
      </c>
      <c r="S20" s="37"/>
    </row>
    <row r="21" spans="1:19" x14ac:dyDescent="0.25">
      <c r="A21" s="3" t="s">
        <v>261</v>
      </c>
      <c r="B21" s="3" t="s">
        <v>11</v>
      </c>
      <c r="C21" s="3" t="s">
        <v>12</v>
      </c>
      <c r="D21" s="3" t="s">
        <v>252</v>
      </c>
      <c r="E21" s="3" t="s">
        <v>251</v>
      </c>
      <c r="F21" s="3" t="s">
        <v>15</v>
      </c>
      <c r="G21" s="3" t="s">
        <v>16</v>
      </c>
      <c r="H21" s="3" t="s">
        <v>248</v>
      </c>
      <c r="I21" s="4" t="s">
        <v>18</v>
      </c>
      <c r="J21" s="4">
        <v>3</v>
      </c>
      <c r="K21" s="4"/>
      <c r="L21" s="38">
        <v>1700000</v>
      </c>
      <c r="M21" s="38">
        <v>2300000</v>
      </c>
      <c r="N21" s="38">
        <v>2300000</v>
      </c>
      <c r="O21" s="38">
        <v>2300000</v>
      </c>
      <c r="P21" s="38">
        <v>2400000</v>
      </c>
      <c r="Q21" s="38">
        <v>2400000</v>
      </c>
    </row>
    <row r="22" spans="1:19" s="35" customFormat="1" x14ac:dyDescent="0.25">
      <c r="A22" s="31" t="s">
        <v>270</v>
      </c>
      <c r="B22" s="31" t="s">
        <v>11</v>
      </c>
      <c r="C22" s="31" t="s">
        <v>12</v>
      </c>
      <c r="D22" s="31" t="s">
        <v>20</v>
      </c>
      <c r="E22" s="31" t="s">
        <v>251</v>
      </c>
      <c r="F22" s="31" t="s">
        <v>15</v>
      </c>
      <c r="G22" s="31" t="s">
        <v>16</v>
      </c>
      <c r="H22" s="31" t="s">
        <v>248</v>
      </c>
      <c r="I22" s="32" t="s">
        <v>18</v>
      </c>
      <c r="J22" s="32">
        <v>3</v>
      </c>
      <c r="K22" s="32"/>
      <c r="L22" s="43">
        <v>15000</v>
      </c>
      <c r="M22" s="43">
        <v>10000</v>
      </c>
      <c r="N22" s="43">
        <v>10000</v>
      </c>
      <c r="O22" s="34">
        <v>12000</v>
      </c>
      <c r="P22" s="34">
        <v>13000</v>
      </c>
      <c r="Q22" s="34">
        <v>13000</v>
      </c>
      <c r="S22" s="37"/>
    </row>
    <row r="23" spans="1:19" s="35" customFormat="1" x14ac:dyDescent="0.25">
      <c r="A23" s="31" t="s">
        <v>272</v>
      </c>
      <c r="B23" s="31" t="s">
        <v>11</v>
      </c>
      <c r="C23" s="31" t="s">
        <v>12</v>
      </c>
      <c r="D23" s="31" t="s">
        <v>24</v>
      </c>
      <c r="E23" s="31" t="s">
        <v>251</v>
      </c>
      <c r="F23" s="31" t="s">
        <v>15</v>
      </c>
      <c r="G23" s="31" t="s">
        <v>16</v>
      </c>
      <c r="H23" s="31" t="s">
        <v>248</v>
      </c>
      <c r="I23" s="32" t="s">
        <v>18</v>
      </c>
      <c r="J23" s="32">
        <v>3</v>
      </c>
      <c r="K23" s="32"/>
      <c r="L23" s="43">
        <v>3500</v>
      </c>
      <c r="M23" s="43">
        <v>4500</v>
      </c>
      <c r="N23" s="43">
        <v>4500</v>
      </c>
      <c r="O23" s="34">
        <v>4500</v>
      </c>
      <c r="P23" s="34">
        <v>4600</v>
      </c>
      <c r="Q23" s="34">
        <v>4700</v>
      </c>
      <c r="S23" s="37"/>
    </row>
    <row r="24" spans="1:19" s="35" customFormat="1" x14ac:dyDescent="0.25">
      <c r="A24" s="31" t="s">
        <v>257</v>
      </c>
      <c r="B24" s="31" t="s">
        <v>11</v>
      </c>
      <c r="C24" s="31" t="s">
        <v>12</v>
      </c>
      <c r="D24" s="31" t="s">
        <v>28</v>
      </c>
      <c r="E24" s="31" t="s">
        <v>251</v>
      </c>
      <c r="F24" s="31" t="s">
        <v>37</v>
      </c>
      <c r="G24" s="31" t="s">
        <v>16</v>
      </c>
      <c r="H24" s="31" t="s">
        <v>255</v>
      </c>
      <c r="I24" s="32" t="s">
        <v>38</v>
      </c>
      <c r="J24" s="32">
        <v>1</v>
      </c>
      <c r="K24" s="32"/>
      <c r="L24" s="43">
        <v>80000</v>
      </c>
      <c r="M24" s="43">
        <v>70000</v>
      </c>
      <c r="N24" s="43">
        <v>70000</v>
      </c>
      <c r="O24" s="34">
        <v>80000</v>
      </c>
      <c r="P24" s="34">
        <v>85000</v>
      </c>
      <c r="Q24" s="34">
        <v>90000</v>
      </c>
      <c r="S24" s="37"/>
    </row>
    <row r="25" spans="1:19" x14ac:dyDescent="0.25">
      <c r="A25" s="3" t="s">
        <v>269</v>
      </c>
      <c r="B25" s="3" t="s">
        <v>11</v>
      </c>
      <c r="C25" s="3" t="s">
        <v>12</v>
      </c>
      <c r="D25" s="3" t="s">
        <v>13</v>
      </c>
      <c r="E25" s="3" t="s">
        <v>251</v>
      </c>
      <c r="F25" s="3" t="s">
        <v>15</v>
      </c>
      <c r="G25" s="3" t="s">
        <v>16</v>
      </c>
      <c r="H25" s="3" t="s">
        <v>248</v>
      </c>
      <c r="I25" s="4" t="s">
        <v>18</v>
      </c>
      <c r="J25" s="4">
        <v>3</v>
      </c>
      <c r="K25" s="4"/>
      <c r="L25" s="38">
        <v>70000</v>
      </c>
      <c r="M25" s="38">
        <v>60000</v>
      </c>
      <c r="N25" s="38">
        <v>60000</v>
      </c>
      <c r="O25" s="6">
        <v>70000</v>
      </c>
      <c r="P25" s="6">
        <v>75000</v>
      </c>
      <c r="Q25" s="6">
        <v>80000</v>
      </c>
    </row>
    <row r="26" spans="1:19" x14ac:dyDescent="0.25">
      <c r="A26" s="3" t="s">
        <v>277</v>
      </c>
      <c r="B26" s="3" t="s">
        <v>11</v>
      </c>
      <c r="C26" s="3" t="s">
        <v>12</v>
      </c>
      <c r="D26" s="3" t="s">
        <v>32</v>
      </c>
      <c r="E26" s="3" t="s">
        <v>251</v>
      </c>
      <c r="F26" s="3" t="s">
        <v>15</v>
      </c>
      <c r="G26" s="3" t="s">
        <v>16</v>
      </c>
      <c r="H26" s="3" t="s">
        <v>248</v>
      </c>
      <c r="I26" s="4" t="s">
        <v>18</v>
      </c>
      <c r="J26" s="4">
        <v>3</v>
      </c>
      <c r="K26" s="4"/>
      <c r="L26" s="38">
        <v>3000</v>
      </c>
      <c r="M26" s="38">
        <v>0</v>
      </c>
      <c r="N26" s="38">
        <v>0</v>
      </c>
      <c r="O26" s="6">
        <v>0</v>
      </c>
      <c r="P26" s="6">
        <v>0</v>
      </c>
      <c r="Q26" s="6">
        <v>0</v>
      </c>
    </row>
    <row r="27" spans="1:19" x14ac:dyDescent="0.25">
      <c r="A27" s="3" t="s">
        <v>274</v>
      </c>
      <c r="B27" s="3" t="s">
        <v>11</v>
      </c>
      <c r="C27" s="3" t="s">
        <v>12</v>
      </c>
      <c r="D27" s="3" t="s">
        <v>26</v>
      </c>
      <c r="E27" s="3" t="s">
        <v>251</v>
      </c>
      <c r="F27" s="3" t="s">
        <v>15</v>
      </c>
      <c r="G27" s="3" t="s">
        <v>16</v>
      </c>
      <c r="H27" s="3" t="s">
        <v>248</v>
      </c>
      <c r="I27" s="4" t="s">
        <v>18</v>
      </c>
      <c r="J27" s="4">
        <v>3</v>
      </c>
      <c r="K27" s="4"/>
      <c r="L27" s="38">
        <v>2000</v>
      </c>
      <c r="M27" s="38">
        <v>0</v>
      </c>
      <c r="N27" s="38">
        <v>0</v>
      </c>
      <c r="O27" s="6">
        <v>0</v>
      </c>
      <c r="P27" s="6">
        <v>0</v>
      </c>
      <c r="Q27" s="6">
        <v>0</v>
      </c>
    </row>
    <row r="28" spans="1:19" x14ac:dyDescent="0.25">
      <c r="A28" s="3" t="s">
        <v>271</v>
      </c>
      <c r="B28" s="3" t="s">
        <v>11</v>
      </c>
      <c r="C28" s="3" t="s">
        <v>12</v>
      </c>
      <c r="D28" s="3" t="s">
        <v>22</v>
      </c>
      <c r="E28" s="3" t="s">
        <v>251</v>
      </c>
      <c r="F28" s="3" t="s">
        <v>15</v>
      </c>
      <c r="G28" s="3" t="s">
        <v>16</v>
      </c>
      <c r="H28" s="3" t="s">
        <v>248</v>
      </c>
      <c r="I28" s="4" t="s">
        <v>18</v>
      </c>
      <c r="J28" s="4">
        <v>3</v>
      </c>
      <c r="K28" s="4"/>
      <c r="L28" s="38">
        <v>30000</v>
      </c>
      <c r="M28" s="38">
        <v>20000</v>
      </c>
      <c r="N28" s="38">
        <v>20000</v>
      </c>
      <c r="O28" s="6">
        <v>25000</v>
      </c>
      <c r="P28" s="6">
        <v>30000</v>
      </c>
      <c r="Q28" s="6">
        <v>35000</v>
      </c>
    </row>
    <row r="29" spans="1:19" x14ac:dyDescent="0.25">
      <c r="A29" s="3" t="s">
        <v>263</v>
      </c>
      <c r="B29" s="3" t="s">
        <v>11</v>
      </c>
      <c r="C29" s="3" t="s">
        <v>12</v>
      </c>
      <c r="D29" s="3" t="s">
        <v>1671</v>
      </c>
      <c r="E29" s="3" t="s">
        <v>251</v>
      </c>
      <c r="F29" s="3" t="s">
        <v>15</v>
      </c>
      <c r="G29" s="3" t="s">
        <v>16</v>
      </c>
      <c r="H29" s="3" t="s">
        <v>248</v>
      </c>
      <c r="I29" s="4" t="s">
        <v>18</v>
      </c>
      <c r="J29" s="4">
        <v>3</v>
      </c>
      <c r="K29" s="4"/>
      <c r="L29" s="38">
        <v>250000</v>
      </c>
      <c r="M29" s="38">
        <v>200000</v>
      </c>
      <c r="N29" s="38">
        <v>200000</v>
      </c>
      <c r="O29" s="6">
        <v>250000</v>
      </c>
      <c r="P29" s="6">
        <v>250000</v>
      </c>
      <c r="Q29" s="6">
        <v>260000</v>
      </c>
    </row>
    <row r="30" spans="1:19" x14ac:dyDescent="0.25">
      <c r="A30" s="3" t="s">
        <v>264</v>
      </c>
      <c r="B30" s="3" t="s">
        <v>11</v>
      </c>
      <c r="C30" s="3" t="s">
        <v>12</v>
      </c>
      <c r="D30" s="3" t="s">
        <v>253</v>
      </c>
      <c r="E30" s="3" t="s">
        <v>251</v>
      </c>
      <c r="F30" s="3" t="s">
        <v>15</v>
      </c>
      <c r="G30" s="3" t="s">
        <v>16</v>
      </c>
      <c r="H30" s="3" t="s">
        <v>248</v>
      </c>
      <c r="I30" s="4" t="s">
        <v>18</v>
      </c>
      <c r="J30" s="4">
        <v>3</v>
      </c>
      <c r="K30" s="4"/>
      <c r="L30" s="38">
        <v>100000</v>
      </c>
      <c r="M30" s="38">
        <v>80000</v>
      </c>
      <c r="N30" s="38">
        <v>80000</v>
      </c>
      <c r="O30" s="6">
        <v>100000</v>
      </c>
      <c r="P30" s="6">
        <v>100000</v>
      </c>
      <c r="Q30" s="6">
        <v>120000</v>
      </c>
    </row>
    <row r="31" spans="1:19" s="161" customFormat="1" x14ac:dyDescent="0.25">
      <c r="A31" s="182" t="s">
        <v>2336</v>
      </c>
      <c r="B31" s="166"/>
      <c r="C31" s="166"/>
      <c r="D31" s="169" t="s">
        <v>2258</v>
      </c>
      <c r="E31" s="166"/>
      <c r="F31" s="166"/>
      <c r="G31" s="166"/>
      <c r="H31" s="166"/>
      <c r="I31" s="163"/>
      <c r="J31" s="163"/>
      <c r="K31" s="163"/>
      <c r="L31" s="38">
        <v>0</v>
      </c>
      <c r="M31" s="38">
        <v>0</v>
      </c>
      <c r="N31" s="38">
        <v>0</v>
      </c>
      <c r="O31" s="6">
        <v>200000</v>
      </c>
      <c r="P31" s="6">
        <v>200000</v>
      </c>
      <c r="Q31" s="6">
        <v>220000</v>
      </c>
      <c r="S31" s="2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</row>
    <row r="33" spans="1:17" ht="15.75" thickBot="1" x14ac:dyDescent="0.3">
      <c r="A33" s="16" t="s">
        <v>1203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41">
        <f>SUM(L5:L32)</f>
        <v>7583206.1475047991</v>
      </c>
      <c r="M33" s="41">
        <f t="shared" ref="M33:N33" si="3">SUM(M5:M32)</f>
        <v>7435199.7776412405</v>
      </c>
      <c r="N33" s="41">
        <f t="shared" si="3"/>
        <v>7435199.7776412405</v>
      </c>
      <c r="O33" s="41">
        <f>SUM(O5:O32)</f>
        <v>8561152.6845135987</v>
      </c>
      <c r="P33" s="41">
        <f>SUM(P5:P32)</f>
        <v>8922637.4026321974</v>
      </c>
      <c r="Q33" s="41">
        <f>SUM(Q5:Q32)</f>
        <v>9249064.0857506469</v>
      </c>
    </row>
  </sheetData>
  <sortState xmlns:xlrd2="http://schemas.microsoft.com/office/spreadsheetml/2017/richdata2" ref="A2:Z27">
    <sortCondition ref="D2:D27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43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3.375" style="35" customWidth="1"/>
    <col min="2" max="2" width="0" style="35" hidden="1" customWidth="1"/>
    <col min="3" max="3" width="28.375" style="35" hidden="1" customWidth="1"/>
    <col min="4" max="4" width="47.375" style="35" bestFit="1" customWidth="1"/>
    <col min="5" max="5" width="35.375" style="35" hidden="1" customWidth="1"/>
    <col min="6" max="11" width="9.125" style="35" hidden="1" customWidth="1"/>
    <col min="12" max="12" width="13.375" style="37" bestFit="1" customWidth="1"/>
    <col min="13" max="13" width="12.625" style="35" bestFit="1" customWidth="1"/>
    <col min="14" max="17" width="12.6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280</v>
      </c>
      <c r="B3" s="72"/>
      <c r="C3" s="72"/>
      <c r="D3" s="72"/>
    </row>
    <row r="4" spans="1:19" ht="75.7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ht="18.75" customHeight="1" x14ac:dyDescent="0.25">
      <c r="A5" s="35" t="s">
        <v>1608</v>
      </c>
    </row>
    <row r="6" spans="1:19" x14ac:dyDescent="0.25">
      <c r="A6" s="71" t="s">
        <v>289</v>
      </c>
      <c r="B6" s="31" t="s">
        <v>290</v>
      </c>
      <c r="C6" s="31" t="s">
        <v>291</v>
      </c>
      <c r="D6" s="31" t="s">
        <v>291</v>
      </c>
      <c r="E6" s="31" t="s">
        <v>279</v>
      </c>
      <c r="F6" s="31" t="s">
        <v>292</v>
      </c>
      <c r="G6" s="31" t="s">
        <v>16</v>
      </c>
      <c r="H6" s="31" t="s">
        <v>280</v>
      </c>
      <c r="I6" s="32" t="s">
        <v>18</v>
      </c>
      <c r="J6" s="32">
        <v>3</v>
      </c>
      <c r="K6" s="32"/>
      <c r="L6" s="43">
        <v>300000</v>
      </c>
      <c r="M6" s="105">
        <v>300000</v>
      </c>
      <c r="N6" s="105">
        <v>300000</v>
      </c>
      <c r="O6" s="105">
        <v>310000</v>
      </c>
      <c r="P6" s="105">
        <v>320000</v>
      </c>
      <c r="Q6" s="105">
        <v>330000</v>
      </c>
    </row>
    <row r="7" spans="1:19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19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300000</v>
      </c>
      <c r="M8" s="97">
        <f t="shared" si="0"/>
        <v>300000</v>
      </c>
      <c r="N8" s="97">
        <f t="shared" si="0"/>
        <v>300000</v>
      </c>
      <c r="O8" s="97">
        <f t="shared" si="0"/>
        <v>310000</v>
      </c>
      <c r="P8" s="97">
        <f t="shared" si="0"/>
        <v>320000</v>
      </c>
      <c r="Q8" s="97">
        <f t="shared" si="0"/>
        <v>330000</v>
      </c>
    </row>
    <row r="9" spans="1:19" ht="18.75" customHeight="1" x14ac:dyDescent="0.25"/>
    <row r="10" spans="1:19" x14ac:dyDescent="0.25">
      <c r="A10" s="31" t="s">
        <v>296</v>
      </c>
      <c r="B10" s="31" t="s">
        <v>11</v>
      </c>
      <c r="C10" s="31" t="s">
        <v>12</v>
      </c>
      <c r="D10" s="31" t="s">
        <v>157</v>
      </c>
      <c r="E10" s="31" t="s">
        <v>279</v>
      </c>
      <c r="F10" s="31" t="s">
        <v>15</v>
      </c>
      <c r="G10" s="31" t="s">
        <v>16</v>
      </c>
      <c r="H10" s="31" t="s">
        <v>280</v>
      </c>
      <c r="I10" s="32" t="s">
        <v>18</v>
      </c>
      <c r="J10" s="32">
        <v>3</v>
      </c>
      <c r="K10" s="32"/>
      <c r="L10" s="34">
        <v>1539748.1732399999</v>
      </c>
      <c r="M10" s="34">
        <v>909768.44000000006</v>
      </c>
      <c r="N10" s="34">
        <v>909768.44000000006</v>
      </c>
      <c r="O10" s="34">
        <f>S10</f>
        <v>1563464.09112</v>
      </c>
      <c r="P10" s="34">
        <f>O10*1.044</f>
        <v>1632256.5111292801</v>
      </c>
      <c r="Q10" s="34">
        <f>P10*1.045</f>
        <v>1705708.0541300976</v>
      </c>
      <c r="S10" s="145">
        <f>'[1]6104HRD'!$E$9</f>
        <v>1563464.09112</v>
      </c>
    </row>
    <row r="11" spans="1:19" hidden="1" x14ac:dyDescent="0.25">
      <c r="A11" s="31" t="s">
        <v>1172</v>
      </c>
      <c r="B11" s="31" t="s">
        <v>11</v>
      </c>
      <c r="C11" s="31" t="s">
        <v>12</v>
      </c>
      <c r="D11" s="31" t="s">
        <v>249</v>
      </c>
      <c r="E11" s="31" t="s">
        <v>279</v>
      </c>
      <c r="F11" s="31" t="s">
        <v>15</v>
      </c>
      <c r="G11" s="31" t="s">
        <v>16</v>
      </c>
      <c r="H11" s="31" t="s">
        <v>280</v>
      </c>
      <c r="I11" s="32" t="s">
        <v>18</v>
      </c>
      <c r="J11" s="32">
        <v>3</v>
      </c>
      <c r="K11" s="32"/>
      <c r="L11" s="34">
        <v>0</v>
      </c>
      <c r="M11" s="34">
        <v>0</v>
      </c>
      <c r="N11" s="34">
        <v>0</v>
      </c>
      <c r="O11" s="34">
        <f t="shared" ref="O11:O23" si="1">S11</f>
        <v>0</v>
      </c>
      <c r="P11" s="34">
        <f t="shared" ref="P11:P23" si="2">O11*1.044</f>
        <v>0</v>
      </c>
      <c r="Q11" s="34">
        <f t="shared" ref="Q11:Q23" si="3">P11*1.045</f>
        <v>0</v>
      </c>
      <c r="S11" s="145"/>
    </row>
    <row r="12" spans="1:19" x14ac:dyDescent="0.25">
      <c r="A12" s="31" t="s">
        <v>307</v>
      </c>
      <c r="B12" s="31" t="s">
        <v>11</v>
      </c>
      <c r="C12" s="31" t="s">
        <v>12</v>
      </c>
      <c r="D12" s="31" t="s">
        <v>153</v>
      </c>
      <c r="E12" s="31" t="s">
        <v>279</v>
      </c>
      <c r="F12" s="31" t="s">
        <v>15</v>
      </c>
      <c r="G12" s="31" t="s">
        <v>16</v>
      </c>
      <c r="H12" s="31" t="s">
        <v>280</v>
      </c>
      <c r="I12" s="32" t="s">
        <v>18</v>
      </c>
      <c r="J12" s="32">
        <v>3</v>
      </c>
      <c r="K12" s="32"/>
      <c r="L12" s="34">
        <v>128312.34776999999</v>
      </c>
      <c r="M12" s="34">
        <v>164930.72</v>
      </c>
      <c r="N12" s="34">
        <v>164930.72</v>
      </c>
      <c r="O12" s="34">
        <f t="shared" si="1"/>
        <v>130288.67425999999</v>
      </c>
      <c r="P12" s="34">
        <f t="shared" si="2"/>
        <v>136021.37592743998</v>
      </c>
      <c r="Q12" s="34">
        <f t="shared" si="3"/>
        <v>142142.33784417476</v>
      </c>
      <c r="S12" s="145">
        <f>'[1]6104HRD'!$I$9</f>
        <v>130288.67425999999</v>
      </c>
    </row>
    <row r="13" spans="1:19" x14ac:dyDescent="0.25">
      <c r="A13" s="31" t="s">
        <v>308</v>
      </c>
      <c r="B13" s="31" t="s">
        <v>11</v>
      </c>
      <c r="C13" s="31" t="s">
        <v>12</v>
      </c>
      <c r="D13" s="31" t="s">
        <v>155</v>
      </c>
      <c r="E13" s="31" t="s">
        <v>279</v>
      </c>
      <c r="F13" s="31" t="s">
        <v>15</v>
      </c>
      <c r="G13" s="31" t="s">
        <v>16</v>
      </c>
      <c r="H13" s="31" t="s">
        <v>280</v>
      </c>
      <c r="I13" s="32" t="s">
        <v>18</v>
      </c>
      <c r="J13" s="32">
        <v>3</v>
      </c>
      <c r="K13" s="32"/>
      <c r="L13" s="34">
        <v>18570.413280000001</v>
      </c>
      <c r="M13" s="34">
        <v>18570.413280000001</v>
      </c>
      <c r="N13" s="34">
        <v>18570.413280000001</v>
      </c>
      <c r="O13" s="34">
        <f t="shared" si="1"/>
        <v>61464.42</v>
      </c>
      <c r="P13" s="34">
        <f t="shared" si="2"/>
        <v>64168.854480000002</v>
      </c>
      <c r="Q13" s="34">
        <f t="shared" si="3"/>
        <v>67056.452931599997</v>
      </c>
      <c r="S13" s="145">
        <f>'[2]6104HRD'!$J$9</f>
        <v>61464.42</v>
      </c>
    </row>
    <row r="14" spans="1:19" hidden="1" x14ac:dyDescent="0.25">
      <c r="A14" s="31" t="s">
        <v>283</v>
      </c>
      <c r="B14" s="31" t="s">
        <v>11</v>
      </c>
      <c r="C14" s="31" t="s">
        <v>12</v>
      </c>
      <c r="D14" s="31" t="s">
        <v>1630</v>
      </c>
      <c r="E14" s="31" t="s">
        <v>279</v>
      </c>
      <c r="F14" s="31" t="s">
        <v>37</v>
      </c>
      <c r="G14" s="31" t="s">
        <v>16</v>
      </c>
      <c r="H14" s="31" t="s">
        <v>284</v>
      </c>
      <c r="I14" s="32" t="s">
        <v>38</v>
      </c>
      <c r="J14" s="32">
        <v>1</v>
      </c>
      <c r="K14" s="32"/>
      <c r="L14" s="34">
        <v>0</v>
      </c>
      <c r="M14" s="34">
        <v>0</v>
      </c>
      <c r="N14" s="34">
        <v>0</v>
      </c>
      <c r="O14" s="34">
        <f t="shared" si="1"/>
        <v>0</v>
      </c>
      <c r="P14" s="34">
        <f t="shared" si="2"/>
        <v>0</v>
      </c>
      <c r="Q14" s="34">
        <f t="shared" si="3"/>
        <v>0</v>
      </c>
      <c r="S14" s="145"/>
    </row>
    <row r="15" spans="1:19" x14ac:dyDescent="0.25">
      <c r="A15" s="31" t="s">
        <v>306</v>
      </c>
      <c r="B15" s="31" t="s">
        <v>11</v>
      </c>
      <c r="C15" s="31" t="s">
        <v>12</v>
      </c>
      <c r="D15" s="31" t="s">
        <v>41</v>
      </c>
      <c r="E15" s="31" t="s">
        <v>279</v>
      </c>
      <c r="F15" s="31" t="s">
        <v>15</v>
      </c>
      <c r="G15" s="31" t="s">
        <v>16</v>
      </c>
      <c r="H15" s="31" t="s">
        <v>280</v>
      </c>
      <c r="I15" s="32" t="s">
        <v>18</v>
      </c>
      <c r="J15" s="32">
        <v>3</v>
      </c>
      <c r="K15" s="32"/>
      <c r="L15" s="34">
        <v>338744.59811279998</v>
      </c>
      <c r="M15" s="34">
        <v>192528.04680000001</v>
      </c>
      <c r="N15" s="34">
        <v>192528.04680000001</v>
      </c>
      <c r="O15" s="34">
        <f t="shared" si="1"/>
        <v>343962.10004639998</v>
      </c>
      <c r="P15" s="34">
        <f t="shared" si="2"/>
        <v>359096.43244844157</v>
      </c>
      <c r="Q15" s="34">
        <f t="shared" si="3"/>
        <v>375255.77190862142</v>
      </c>
      <c r="S15" s="145">
        <f>'[1]6104HRD'!$K$9</f>
        <v>343962.10004639998</v>
      </c>
    </row>
    <row r="16" spans="1:19" x14ac:dyDescent="0.25">
      <c r="A16" s="31" t="s">
        <v>305</v>
      </c>
      <c r="B16" s="31" t="s">
        <v>11</v>
      </c>
      <c r="C16" s="31" t="s">
        <v>12</v>
      </c>
      <c r="D16" s="31" t="s">
        <v>36</v>
      </c>
      <c r="E16" s="31" t="s">
        <v>279</v>
      </c>
      <c r="F16" s="31" t="s">
        <v>15</v>
      </c>
      <c r="G16" s="31" t="s">
        <v>16</v>
      </c>
      <c r="H16" s="31" t="s">
        <v>280</v>
      </c>
      <c r="I16" s="32" t="s">
        <v>18</v>
      </c>
      <c r="J16" s="32">
        <v>3</v>
      </c>
      <c r="K16" s="32"/>
      <c r="L16" s="34">
        <v>132062.39999999999</v>
      </c>
      <c r="M16" s="34">
        <v>65356.08</v>
      </c>
      <c r="N16" s="34">
        <v>65356.08</v>
      </c>
      <c r="O16" s="34">
        <f t="shared" si="1"/>
        <v>92527.200000000012</v>
      </c>
      <c r="P16" s="34">
        <f t="shared" si="2"/>
        <v>96598.396800000017</v>
      </c>
      <c r="Q16" s="34">
        <f t="shared" si="3"/>
        <v>100945.32465600001</v>
      </c>
      <c r="S16" s="145">
        <f>'[1]6104HRD'!$L$9</f>
        <v>92527.200000000012</v>
      </c>
    </row>
    <row r="17" spans="1:19" x14ac:dyDescent="0.25">
      <c r="A17" s="31" t="s">
        <v>321</v>
      </c>
      <c r="B17" s="31" t="s">
        <v>11</v>
      </c>
      <c r="C17" s="31" t="s">
        <v>12</v>
      </c>
      <c r="D17" s="31" t="s">
        <v>47</v>
      </c>
      <c r="E17" s="31" t="s">
        <v>279</v>
      </c>
      <c r="F17" s="31" t="s">
        <v>15</v>
      </c>
      <c r="G17" s="31" t="s">
        <v>16</v>
      </c>
      <c r="H17" s="31" t="s">
        <v>280</v>
      </c>
      <c r="I17" s="32" t="s">
        <v>18</v>
      </c>
      <c r="J17" s="32">
        <v>3</v>
      </c>
      <c r="K17" s="32"/>
      <c r="L17" s="34">
        <v>443731.43999999994</v>
      </c>
      <c r="M17" s="34">
        <v>262171.69</v>
      </c>
      <c r="N17" s="34">
        <v>262171.69</v>
      </c>
      <c r="O17" s="34">
        <f t="shared" si="1"/>
        <v>425470.12007999991</v>
      </c>
      <c r="P17" s="34">
        <f t="shared" si="2"/>
        <v>444190.80536351993</v>
      </c>
      <c r="Q17" s="34">
        <f t="shared" si="3"/>
        <v>464179.3916048783</v>
      </c>
      <c r="S17" s="145">
        <f>'[1]6104HRD'!$M$9</f>
        <v>425470.12007999991</v>
      </c>
    </row>
    <row r="18" spans="1:19" x14ac:dyDescent="0.25">
      <c r="A18" s="31" t="s">
        <v>297</v>
      </c>
      <c r="B18" s="31" t="s">
        <v>11</v>
      </c>
      <c r="C18" s="31" t="s">
        <v>12</v>
      </c>
      <c r="D18" s="31" t="s">
        <v>45</v>
      </c>
      <c r="E18" s="31" t="s">
        <v>279</v>
      </c>
      <c r="F18" s="31" t="s">
        <v>37</v>
      </c>
      <c r="G18" s="31" t="s">
        <v>16</v>
      </c>
      <c r="H18" s="31" t="s">
        <v>284</v>
      </c>
      <c r="I18" s="32" t="s">
        <v>38</v>
      </c>
      <c r="J18" s="32">
        <v>3</v>
      </c>
      <c r="K18" s="32"/>
      <c r="L18" s="34">
        <v>34726.559999999998</v>
      </c>
      <c r="M18" s="34">
        <v>17395.190000000002</v>
      </c>
      <c r="N18" s="34">
        <v>17395.190000000002</v>
      </c>
      <c r="O18" s="34">
        <f t="shared" si="1"/>
        <v>28832.31048</v>
      </c>
      <c r="P18" s="34">
        <f t="shared" si="2"/>
        <v>30100.93214112</v>
      </c>
      <c r="Q18" s="34">
        <f t="shared" si="3"/>
        <v>31455.474087470397</v>
      </c>
      <c r="S18" s="145">
        <f>'[1]6104HRD'!$N$9</f>
        <v>28832.31048</v>
      </c>
    </row>
    <row r="19" spans="1:19" x14ac:dyDescent="0.25">
      <c r="A19" s="31" t="s">
        <v>320</v>
      </c>
      <c r="B19" s="31" t="s">
        <v>11</v>
      </c>
      <c r="C19" s="31" t="s">
        <v>12</v>
      </c>
      <c r="D19" s="31" t="s">
        <v>156</v>
      </c>
      <c r="E19" s="31" t="s">
        <v>279</v>
      </c>
      <c r="F19" s="31" t="s">
        <v>15</v>
      </c>
      <c r="G19" s="31" t="s">
        <v>16</v>
      </c>
      <c r="H19" s="31" t="s">
        <v>280</v>
      </c>
      <c r="I19" s="32" t="s">
        <v>18</v>
      </c>
      <c r="J19" s="32">
        <v>3</v>
      </c>
      <c r="K19" s="32"/>
      <c r="L19" s="34">
        <v>12141.251879999998</v>
      </c>
      <c r="M19" s="34">
        <v>5787.0599999999995</v>
      </c>
      <c r="N19" s="34">
        <v>5787.0599999999995</v>
      </c>
      <c r="O19" s="34">
        <f t="shared" si="1"/>
        <v>12141.251879999998</v>
      </c>
      <c r="P19" s="34">
        <f t="shared" si="2"/>
        <v>12675.466962719998</v>
      </c>
      <c r="Q19" s="34">
        <f t="shared" si="3"/>
        <v>13245.862976042397</v>
      </c>
      <c r="S19" s="145">
        <f>'[1]6104HRD'!$P$9</f>
        <v>12141.251879999998</v>
      </c>
    </row>
    <row r="20" spans="1:19" x14ac:dyDescent="0.25">
      <c r="A20" s="31" t="s">
        <v>318</v>
      </c>
      <c r="B20" s="31" t="s">
        <v>11</v>
      </c>
      <c r="C20" s="31" t="s">
        <v>12</v>
      </c>
      <c r="D20" s="31" t="s">
        <v>151</v>
      </c>
      <c r="E20" s="31" t="s">
        <v>279</v>
      </c>
      <c r="F20" s="31" t="s">
        <v>15</v>
      </c>
      <c r="G20" s="31" t="s">
        <v>16</v>
      </c>
      <c r="H20" s="31" t="s">
        <v>280</v>
      </c>
      <c r="I20" s="32" t="s">
        <v>18</v>
      </c>
      <c r="J20" s="32">
        <v>3</v>
      </c>
      <c r="K20" s="32"/>
      <c r="L20" s="34">
        <v>475.20000000000005</v>
      </c>
      <c r="M20" s="34">
        <v>288.40000000000003</v>
      </c>
      <c r="N20" s="34">
        <v>288.40000000000003</v>
      </c>
      <c r="O20" s="34">
        <f t="shared" si="1"/>
        <v>494.40000000000003</v>
      </c>
      <c r="P20" s="34">
        <f t="shared" si="2"/>
        <v>516.1536000000001</v>
      </c>
      <c r="Q20" s="34">
        <f t="shared" si="3"/>
        <v>539.38051200000007</v>
      </c>
      <c r="S20" s="145">
        <f>'[1]6104HRD'!$R$9</f>
        <v>494.40000000000003</v>
      </c>
    </row>
    <row r="21" spans="1:19" x14ac:dyDescent="0.25">
      <c r="A21" s="31" t="s">
        <v>319</v>
      </c>
      <c r="B21" s="31" t="s">
        <v>11</v>
      </c>
      <c r="C21" s="31" t="s">
        <v>12</v>
      </c>
      <c r="D21" s="31" t="s">
        <v>43</v>
      </c>
      <c r="E21" s="31" t="s">
        <v>279</v>
      </c>
      <c r="F21" s="31" t="s">
        <v>15</v>
      </c>
      <c r="G21" s="31" t="s">
        <v>16</v>
      </c>
      <c r="H21" s="31" t="s">
        <v>280</v>
      </c>
      <c r="I21" s="32" t="s">
        <v>18</v>
      </c>
      <c r="J21" s="32">
        <v>3</v>
      </c>
      <c r="K21" s="32"/>
      <c r="L21" s="34">
        <v>5989.44</v>
      </c>
      <c r="M21" s="34">
        <v>6343.5414000000001</v>
      </c>
      <c r="N21" s="34">
        <v>6343.5414000000001</v>
      </c>
      <c r="O21" s="34">
        <f t="shared" si="1"/>
        <v>5989.44</v>
      </c>
      <c r="P21" s="34">
        <f t="shared" si="2"/>
        <v>6252.9753599999995</v>
      </c>
      <c r="Q21" s="34">
        <f t="shared" si="3"/>
        <v>6534.3592511999987</v>
      </c>
      <c r="S21" s="145">
        <f>'[1]6104HRD'!$T$9</f>
        <v>5989.44</v>
      </c>
    </row>
    <row r="22" spans="1:19" x14ac:dyDescent="0.25">
      <c r="A22" s="31"/>
      <c r="B22" s="31"/>
      <c r="C22" s="31"/>
      <c r="D22" s="31"/>
      <c r="E22" s="31"/>
      <c r="F22" s="31"/>
      <c r="G22" s="31"/>
      <c r="H22" s="31"/>
      <c r="I22" s="32"/>
      <c r="J22" s="32"/>
      <c r="K22" s="32"/>
      <c r="L22" s="34"/>
      <c r="M22" s="34"/>
      <c r="N22" s="34"/>
      <c r="O22" s="34"/>
      <c r="P22" s="34"/>
      <c r="Q22" s="34"/>
      <c r="S22" s="145"/>
    </row>
    <row r="23" spans="1:19" x14ac:dyDescent="0.25">
      <c r="A23" s="31" t="s">
        <v>317</v>
      </c>
      <c r="B23" s="31" t="s">
        <v>11</v>
      </c>
      <c r="C23" s="31" t="s">
        <v>12</v>
      </c>
      <c r="D23" s="31" t="s">
        <v>30</v>
      </c>
      <c r="E23" s="31" t="s">
        <v>279</v>
      </c>
      <c r="F23" s="31" t="s">
        <v>15</v>
      </c>
      <c r="G23" s="31" t="s">
        <v>16</v>
      </c>
      <c r="H23" s="31" t="s">
        <v>280</v>
      </c>
      <c r="I23" s="32" t="s">
        <v>18</v>
      </c>
      <c r="J23" s="32">
        <v>3</v>
      </c>
      <c r="K23" s="32"/>
      <c r="L23" s="34">
        <v>15397.481732399998</v>
      </c>
      <c r="M23" s="34">
        <v>11230.2744</v>
      </c>
      <c r="N23" s="34">
        <v>11230.2744</v>
      </c>
      <c r="O23" s="34">
        <f t="shared" si="1"/>
        <v>15634.6409112</v>
      </c>
      <c r="P23" s="34">
        <f t="shared" si="2"/>
        <v>16322.565111292801</v>
      </c>
      <c r="Q23" s="34">
        <f t="shared" si="3"/>
        <v>17057.080541300977</v>
      </c>
      <c r="S23" s="145">
        <f>'[1]6104HRD'!$Q$9</f>
        <v>15634.6409112</v>
      </c>
    </row>
    <row r="24" spans="1:19" x14ac:dyDescent="0.25">
      <c r="A24" s="31" t="s">
        <v>303</v>
      </c>
      <c r="B24" s="31" t="s">
        <v>11</v>
      </c>
      <c r="C24" s="31" t="s">
        <v>12</v>
      </c>
      <c r="D24" s="31" t="s">
        <v>281</v>
      </c>
      <c r="E24" s="31" t="s">
        <v>279</v>
      </c>
      <c r="F24" s="31" t="s">
        <v>15</v>
      </c>
      <c r="G24" s="31" t="s">
        <v>16</v>
      </c>
      <c r="H24" s="31" t="s">
        <v>280</v>
      </c>
      <c r="I24" s="32" t="s">
        <v>18</v>
      </c>
      <c r="J24" s="32">
        <v>3</v>
      </c>
      <c r="K24" s="32"/>
      <c r="L24" s="43">
        <v>200000</v>
      </c>
      <c r="M24" s="43">
        <v>100000</v>
      </c>
      <c r="N24" s="43">
        <v>100000</v>
      </c>
      <c r="O24" s="43">
        <v>200000</v>
      </c>
      <c r="P24" s="43">
        <v>210000</v>
      </c>
      <c r="Q24" s="43">
        <v>220000</v>
      </c>
    </row>
    <row r="25" spans="1:19" x14ac:dyDescent="0.25">
      <c r="A25" s="31" t="s">
        <v>310</v>
      </c>
      <c r="B25" s="31" t="s">
        <v>11</v>
      </c>
      <c r="C25" s="31" t="s">
        <v>12</v>
      </c>
      <c r="D25" s="31" t="s">
        <v>285</v>
      </c>
      <c r="E25" s="31" t="s">
        <v>279</v>
      </c>
      <c r="F25" s="31" t="s">
        <v>15</v>
      </c>
      <c r="G25" s="31" t="s">
        <v>16</v>
      </c>
      <c r="H25" s="31" t="s">
        <v>280</v>
      </c>
      <c r="I25" s="32" t="s">
        <v>18</v>
      </c>
      <c r="J25" s="32">
        <v>3</v>
      </c>
      <c r="K25" s="32"/>
      <c r="L25" s="43">
        <v>150000</v>
      </c>
      <c r="M25" s="43">
        <v>150000</v>
      </c>
      <c r="N25" s="43">
        <v>150000</v>
      </c>
      <c r="O25" s="43">
        <v>180000</v>
      </c>
      <c r="P25" s="43">
        <v>185000</v>
      </c>
      <c r="Q25" s="43">
        <v>200000</v>
      </c>
    </row>
    <row r="26" spans="1:19" x14ac:dyDescent="0.25">
      <c r="A26" s="31" t="s">
        <v>316</v>
      </c>
      <c r="B26" s="31" t="s">
        <v>11</v>
      </c>
      <c r="C26" s="31" t="s">
        <v>12</v>
      </c>
      <c r="D26" s="31" t="s">
        <v>20</v>
      </c>
      <c r="E26" s="31" t="s">
        <v>279</v>
      </c>
      <c r="F26" s="31" t="s">
        <v>15</v>
      </c>
      <c r="G26" s="31" t="s">
        <v>16</v>
      </c>
      <c r="H26" s="31" t="s">
        <v>280</v>
      </c>
      <c r="I26" s="32" t="s">
        <v>18</v>
      </c>
      <c r="J26" s="32">
        <v>3</v>
      </c>
      <c r="K26" s="32"/>
      <c r="L26" s="43">
        <v>3000</v>
      </c>
      <c r="M26" s="43">
        <v>3000</v>
      </c>
      <c r="N26" s="43">
        <v>3000</v>
      </c>
      <c r="O26" s="43">
        <v>3000</v>
      </c>
      <c r="P26" s="43">
        <v>3000</v>
      </c>
      <c r="Q26" s="43">
        <v>3000</v>
      </c>
    </row>
    <row r="27" spans="1:19" x14ac:dyDescent="0.25">
      <c r="A27" s="31" t="s">
        <v>1173</v>
      </c>
      <c r="B27" s="31" t="s">
        <v>11</v>
      </c>
      <c r="C27" s="31" t="s">
        <v>12</v>
      </c>
      <c r="D27" s="31" t="s">
        <v>24</v>
      </c>
      <c r="E27" s="31" t="s">
        <v>279</v>
      </c>
      <c r="F27" s="31" t="s">
        <v>15</v>
      </c>
      <c r="G27" s="31" t="s">
        <v>16</v>
      </c>
      <c r="H27" s="31" t="s">
        <v>280</v>
      </c>
      <c r="I27" s="32" t="s">
        <v>18</v>
      </c>
      <c r="J27" s="32">
        <v>3</v>
      </c>
      <c r="K27" s="32"/>
      <c r="L27" s="43">
        <v>4000</v>
      </c>
      <c r="M27" s="43">
        <v>4000</v>
      </c>
      <c r="N27" s="43">
        <v>4000</v>
      </c>
      <c r="O27" s="43">
        <v>3000</v>
      </c>
      <c r="P27" s="43">
        <v>3000</v>
      </c>
      <c r="Q27" s="43">
        <v>3000</v>
      </c>
    </row>
    <row r="28" spans="1:19" x14ac:dyDescent="0.25">
      <c r="A28" s="31" t="s">
        <v>300</v>
      </c>
      <c r="B28" s="31" t="s">
        <v>11</v>
      </c>
      <c r="C28" s="31" t="s">
        <v>12</v>
      </c>
      <c r="D28" s="31" t="s">
        <v>28</v>
      </c>
      <c r="E28" s="31" t="s">
        <v>279</v>
      </c>
      <c r="F28" s="31" t="s">
        <v>37</v>
      </c>
      <c r="G28" s="31" t="s">
        <v>16</v>
      </c>
      <c r="H28" s="31" t="s">
        <v>284</v>
      </c>
      <c r="I28" s="32" t="s">
        <v>38</v>
      </c>
      <c r="J28" s="32">
        <v>1</v>
      </c>
      <c r="K28" s="32"/>
      <c r="L28" s="43">
        <v>55000</v>
      </c>
      <c r="M28" s="43">
        <v>45000</v>
      </c>
      <c r="N28" s="43">
        <v>45000</v>
      </c>
      <c r="O28" s="43">
        <v>50000</v>
      </c>
      <c r="P28" s="43">
        <v>55000</v>
      </c>
      <c r="Q28" s="43">
        <v>60000</v>
      </c>
    </row>
    <row r="29" spans="1:19" x14ac:dyDescent="0.25">
      <c r="A29" s="31" t="s">
        <v>311</v>
      </c>
      <c r="B29" s="31" t="s">
        <v>11</v>
      </c>
      <c r="C29" s="31" t="s">
        <v>12</v>
      </c>
      <c r="D29" s="31" t="s">
        <v>1667</v>
      </c>
      <c r="E29" s="31" t="s">
        <v>279</v>
      </c>
      <c r="F29" s="31" t="s">
        <v>15</v>
      </c>
      <c r="G29" s="31" t="s">
        <v>16</v>
      </c>
      <c r="H29" s="31" t="s">
        <v>280</v>
      </c>
      <c r="I29" s="32" t="s">
        <v>18</v>
      </c>
      <c r="J29" s="32">
        <v>3</v>
      </c>
      <c r="K29" s="32"/>
      <c r="L29" s="43">
        <v>500000</v>
      </c>
      <c r="M29" s="43">
        <v>650000</v>
      </c>
      <c r="N29" s="43">
        <v>650000</v>
      </c>
      <c r="O29" s="43">
        <v>800000</v>
      </c>
      <c r="P29" s="43">
        <v>840000</v>
      </c>
      <c r="Q29" s="43">
        <v>840000</v>
      </c>
    </row>
    <row r="30" spans="1:19" x14ac:dyDescent="0.25">
      <c r="A30" s="31" t="s">
        <v>287</v>
      </c>
      <c r="B30" s="31" t="s">
        <v>11</v>
      </c>
      <c r="C30" s="31" t="s">
        <v>228</v>
      </c>
      <c r="D30" s="31" t="s">
        <v>288</v>
      </c>
      <c r="E30" s="31" t="s">
        <v>279</v>
      </c>
      <c r="F30" s="31" t="s">
        <v>15</v>
      </c>
      <c r="G30" s="31" t="s">
        <v>16</v>
      </c>
      <c r="H30" s="31" t="s">
        <v>280</v>
      </c>
      <c r="I30" s="32" t="s">
        <v>18</v>
      </c>
      <c r="J30" s="32">
        <v>3</v>
      </c>
      <c r="K30" s="32"/>
      <c r="L30" s="43">
        <v>300000</v>
      </c>
      <c r="M30" s="43">
        <v>300000</v>
      </c>
      <c r="N30" s="43">
        <v>300000</v>
      </c>
      <c r="O30" s="43">
        <v>350000</v>
      </c>
      <c r="P30" s="43">
        <v>380000</v>
      </c>
      <c r="Q30" s="43">
        <v>380000</v>
      </c>
    </row>
    <row r="31" spans="1:19" hidden="1" x14ac:dyDescent="0.25">
      <c r="A31" s="31" t="s">
        <v>1755</v>
      </c>
      <c r="B31" s="31"/>
      <c r="C31" s="31"/>
      <c r="D31" s="31" t="s">
        <v>288</v>
      </c>
      <c r="E31" s="31" t="s">
        <v>279</v>
      </c>
      <c r="F31" s="31" t="s">
        <v>15</v>
      </c>
      <c r="G31" s="31" t="s">
        <v>16</v>
      </c>
      <c r="H31" s="31" t="s">
        <v>280</v>
      </c>
      <c r="I31" s="32"/>
      <c r="J31" s="32"/>
      <c r="K31" s="32"/>
      <c r="L31" s="43">
        <v>0</v>
      </c>
      <c r="M31" s="43">
        <v>0</v>
      </c>
      <c r="N31" s="43">
        <v>0</v>
      </c>
      <c r="O31" s="43"/>
      <c r="P31" s="43"/>
      <c r="Q31" s="43"/>
    </row>
    <row r="32" spans="1:19" x14ac:dyDescent="0.25">
      <c r="A32" s="31" t="s">
        <v>293</v>
      </c>
      <c r="B32" s="31" t="s">
        <v>11</v>
      </c>
      <c r="C32" s="31" t="s">
        <v>294</v>
      </c>
      <c r="D32" s="31" t="s">
        <v>1668</v>
      </c>
      <c r="E32" s="31" t="s">
        <v>279</v>
      </c>
      <c r="F32" s="31" t="s">
        <v>295</v>
      </c>
      <c r="G32" s="31" t="s">
        <v>16</v>
      </c>
      <c r="H32" s="31" t="s">
        <v>284</v>
      </c>
      <c r="I32" s="32" t="s">
        <v>38</v>
      </c>
      <c r="J32" s="32">
        <v>1</v>
      </c>
      <c r="K32" s="32"/>
      <c r="L32" s="43">
        <v>300000</v>
      </c>
      <c r="M32" s="43">
        <v>300000</v>
      </c>
      <c r="N32" s="43">
        <v>300000</v>
      </c>
      <c r="O32" s="43">
        <v>310000</v>
      </c>
      <c r="P32" s="43">
        <v>320000</v>
      </c>
      <c r="Q32" s="43">
        <v>330000</v>
      </c>
    </row>
    <row r="33" spans="1:19" x14ac:dyDescent="0.25">
      <c r="A33" s="31" t="s">
        <v>304</v>
      </c>
      <c r="B33" s="31" t="s">
        <v>11</v>
      </c>
      <c r="C33" s="31" t="s">
        <v>12</v>
      </c>
      <c r="D33" s="31" t="s">
        <v>282</v>
      </c>
      <c r="E33" s="31" t="s">
        <v>279</v>
      </c>
      <c r="F33" s="31" t="s">
        <v>15</v>
      </c>
      <c r="G33" s="31" t="s">
        <v>16</v>
      </c>
      <c r="H33" s="31" t="s">
        <v>280</v>
      </c>
      <c r="I33" s="32" t="s">
        <v>18</v>
      </c>
      <c r="J33" s="32">
        <v>3</v>
      </c>
      <c r="K33" s="32"/>
      <c r="L33" s="43">
        <v>1000000</v>
      </c>
      <c r="M33" s="43">
        <v>1500000</v>
      </c>
      <c r="N33" s="43">
        <v>1500000</v>
      </c>
      <c r="O33" s="43">
        <f>2000000-250000</f>
        <v>1750000</v>
      </c>
      <c r="P33" s="43">
        <v>1800000</v>
      </c>
      <c r="Q33" s="43">
        <v>1800000</v>
      </c>
    </row>
    <row r="34" spans="1:19" x14ac:dyDescent="0.25">
      <c r="A34" s="31" t="s">
        <v>314</v>
      </c>
      <c r="B34" s="31" t="s">
        <v>11</v>
      </c>
      <c r="C34" s="31" t="s">
        <v>12</v>
      </c>
      <c r="D34" s="31" t="s">
        <v>13</v>
      </c>
      <c r="E34" s="31" t="s">
        <v>279</v>
      </c>
      <c r="F34" s="31" t="s">
        <v>15</v>
      </c>
      <c r="G34" s="31" t="s">
        <v>16</v>
      </c>
      <c r="H34" s="31" t="s">
        <v>280</v>
      </c>
      <c r="I34" s="32" t="s">
        <v>18</v>
      </c>
      <c r="J34" s="32">
        <v>3</v>
      </c>
      <c r="K34" s="32"/>
      <c r="L34" s="43">
        <v>40000</v>
      </c>
      <c r="M34" s="43">
        <v>30000</v>
      </c>
      <c r="N34" s="43">
        <v>30000</v>
      </c>
      <c r="O34" s="43">
        <v>40000</v>
      </c>
      <c r="P34" s="43">
        <v>50000</v>
      </c>
      <c r="Q34" s="43">
        <v>50000</v>
      </c>
    </row>
    <row r="35" spans="1:19" x14ac:dyDescent="0.25">
      <c r="A35" s="31" t="s">
        <v>313</v>
      </c>
      <c r="B35" s="31" t="s">
        <v>11</v>
      </c>
      <c r="C35" s="31" t="s">
        <v>12</v>
      </c>
      <c r="D35" s="31" t="s">
        <v>32</v>
      </c>
      <c r="E35" s="31" t="s">
        <v>279</v>
      </c>
      <c r="F35" s="31" t="s">
        <v>15</v>
      </c>
      <c r="G35" s="31" t="s">
        <v>16</v>
      </c>
      <c r="H35" s="31" t="s">
        <v>280</v>
      </c>
      <c r="I35" s="32" t="s">
        <v>18</v>
      </c>
      <c r="J35" s="32">
        <v>3</v>
      </c>
      <c r="K35" s="32"/>
      <c r="L35" s="43">
        <v>2000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</row>
    <row r="36" spans="1:19" x14ac:dyDescent="0.25">
      <c r="A36" s="31" t="s">
        <v>312</v>
      </c>
      <c r="B36" s="31" t="s">
        <v>11</v>
      </c>
      <c r="C36" s="31" t="s">
        <v>12</v>
      </c>
      <c r="D36" s="31" t="s">
        <v>26</v>
      </c>
      <c r="E36" s="31" t="s">
        <v>279</v>
      </c>
      <c r="F36" s="31" t="s">
        <v>15</v>
      </c>
      <c r="G36" s="31" t="s">
        <v>16</v>
      </c>
      <c r="H36" s="31" t="s">
        <v>280</v>
      </c>
      <c r="I36" s="32" t="s">
        <v>18</v>
      </c>
      <c r="J36" s="32">
        <v>3</v>
      </c>
      <c r="K36" s="32"/>
      <c r="L36" s="43">
        <v>2000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</row>
    <row r="37" spans="1:19" x14ac:dyDescent="0.25">
      <c r="A37" s="31" t="s">
        <v>315</v>
      </c>
      <c r="B37" s="31" t="s">
        <v>11</v>
      </c>
      <c r="C37" s="31" t="s">
        <v>12</v>
      </c>
      <c r="D37" s="31" t="s">
        <v>22</v>
      </c>
      <c r="E37" s="31" t="s">
        <v>279</v>
      </c>
      <c r="F37" s="31" t="s">
        <v>15</v>
      </c>
      <c r="G37" s="31" t="s">
        <v>16</v>
      </c>
      <c r="H37" s="31" t="s">
        <v>280</v>
      </c>
      <c r="I37" s="32" t="s">
        <v>18</v>
      </c>
      <c r="J37" s="32">
        <v>3</v>
      </c>
      <c r="K37" s="32"/>
      <c r="L37" s="43">
        <v>20000</v>
      </c>
      <c r="M37" s="43">
        <v>10000</v>
      </c>
      <c r="N37" s="43">
        <v>10000</v>
      </c>
      <c r="O37" s="43">
        <v>15000</v>
      </c>
      <c r="P37" s="43">
        <v>16000</v>
      </c>
      <c r="Q37" s="43">
        <v>16000</v>
      </c>
    </row>
    <row r="38" spans="1:19" x14ac:dyDescent="0.25">
      <c r="A38" s="31" t="s">
        <v>309</v>
      </c>
      <c r="B38" s="31" t="s">
        <v>11</v>
      </c>
      <c r="C38" s="31" t="s">
        <v>12</v>
      </c>
      <c r="D38" s="31" t="s">
        <v>1673</v>
      </c>
      <c r="E38" s="31" t="s">
        <v>279</v>
      </c>
      <c r="F38" s="31" t="s">
        <v>15</v>
      </c>
      <c r="G38" s="31" t="s">
        <v>16</v>
      </c>
      <c r="H38" s="31" t="s">
        <v>280</v>
      </c>
      <c r="I38" s="32" t="s">
        <v>18</v>
      </c>
      <c r="J38" s="32">
        <v>3</v>
      </c>
      <c r="K38" s="32"/>
      <c r="L38" s="43">
        <v>1300000</v>
      </c>
      <c r="M38" s="43">
        <v>1300000</v>
      </c>
      <c r="N38" s="43">
        <v>1300000</v>
      </c>
      <c r="O38" s="43">
        <f>2000000-500000</f>
        <v>1500000</v>
      </c>
      <c r="P38" s="43">
        <v>1500000</v>
      </c>
      <c r="Q38" s="43">
        <f>2100000-500000</f>
        <v>1600000</v>
      </c>
    </row>
    <row r="39" spans="1:19" hidden="1" x14ac:dyDescent="0.25">
      <c r="A39" s="31" t="s">
        <v>298</v>
      </c>
      <c r="B39" s="31" t="s">
        <v>11</v>
      </c>
      <c r="C39" s="31" t="s">
        <v>12</v>
      </c>
      <c r="D39" s="31" t="s">
        <v>299</v>
      </c>
      <c r="E39" s="31" t="s">
        <v>279</v>
      </c>
      <c r="F39" s="31" t="s">
        <v>37</v>
      </c>
      <c r="G39" s="31" t="s">
        <v>16</v>
      </c>
      <c r="H39" s="31" t="s">
        <v>284</v>
      </c>
      <c r="I39" s="32" t="s">
        <v>38</v>
      </c>
      <c r="J39" s="32">
        <v>1</v>
      </c>
      <c r="K39" s="32"/>
      <c r="L39" s="43"/>
      <c r="M39" s="43"/>
      <c r="N39" s="43"/>
      <c r="O39" s="43"/>
      <c r="P39" s="43"/>
      <c r="Q39" s="43"/>
    </row>
    <row r="40" spans="1:19" x14ac:dyDescent="0.25">
      <c r="A40" s="50" t="s">
        <v>1767</v>
      </c>
      <c r="B40" s="31"/>
      <c r="C40" s="31"/>
      <c r="D40" s="31" t="s">
        <v>1674</v>
      </c>
      <c r="E40" s="31"/>
      <c r="F40" s="31"/>
      <c r="G40" s="31"/>
      <c r="H40" s="31"/>
      <c r="I40" s="32"/>
      <c r="J40" s="32"/>
      <c r="K40" s="32"/>
      <c r="L40" s="43">
        <v>150000</v>
      </c>
      <c r="M40" s="43">
        <v>160000</v>
      </c>
      <c r="N40" s="43">
        <v>160000</v>
      </c>
      <c r="O40" s="43">
        <v>165000</v>
      </c>
      <c r="P40" s="43">
        <v>170000</v>
      </c>
      <c r="Q40" s="43">
        <v>170000</v>
      </c>
    </row>
    <row r="41" spans="1:19" s="171" customFormat="1" x14ac:dyDescent="0.25">
      <c r="A41" s="50" t="s">
        <v>2335</v>
      </c>
      <c r="B41" s="169"/>
      <c r="C41" s="169"/>
      <c r="D41" s="169" t="s">
        <v>2257</v>
      </c>
      <c r="E41" s="169"/>
      <c r="F41" s="169"/>
      <c r="G41" s="169"/>
      <c r="H41" s="169"/>
      <c r="I41" s="170"/>
      <c r="J41" s="170"/>
      <c r="K41" s="170"/>
      <c r="L41" s="43">
        <v>0</v>
      </c>
      <c r="M41" s="43">
        <v>0</v>
      </c>
      <c r="N41" s="43">
        <v>0</v>
      </c>
      <c r="O41" s="43">
        <v>70000</v>
      </c>
      <c r="P41" s="43">
        <v>75000</v>
      </c>
      <c r="Q41" s="43">
        <v>0</v>
      </c>
      <c r="S41" s="37"/>
    </row>
    <row r="43" spans="1:19" ht="15.75" thickBot="1" x14ac:dyDescent="0.3">
      <c r="A43" s="93" t="s">
        <v>1203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49">
        <f>SUM(L10:L42)</f>
        <v>6695899.3060152</v>
      </c>
      <c r="M43" s="49">
        <f t="shared" ref="M43:N43" si="4">SUM(M10:M42)</f>
        <v>6206369.8558799997</v>
      </c>
      <c r="N43" s="49">
        <f t="shared" si="4"/>
        <v>6206369.8558799997</v>
      </c>
      <c r="O43" s="49">
        <f>SUM(O10:O42)</f>
        <v>8116268.6487775994</v>
      </c>
      <c r="P43" s="49">
        <f>SUM(P10:P42)</f>
        <v>8405200.4693238139</v>
      </c>
      <c r="Q43" s="49">
        <f>SUM(Q10:Q42)</f>
        <v>8596119.4904433861</v>
      </c>
    </row>
  </sheetData>
  <sortState xmlns:xlrd2="http://schemas.microsoft.com/office/spreadsheetml/2017/richdata2" ref="A2:Z30">
    <sortCondition ref="D2:D30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S39"/>
  <sheetViews>
    <sheetView zoomScaleNormal="10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14.875" defaultRowHeight="15" x14ac:dyDescent="0.25"/>
  <cols>
    <col min="1" max="1" width="41.625" style="35" customWidth="1"/>
    <col min="2" max="2" width="32.125" style="35" hidden="1" customWidth="1"/>
    <col min="3" max="3" width="15" style="35" hidden="1" customWidth="1"/>
    <col min="4" max="4" width="47" style="35" customWidth="1"/>
    <col min="5" max="11" width="14.875" style="35" hidden="1" customWidth="1"/>
    <col min="12" max="12" width="14.875" style="37"/>
    <col min="13" max="13" width="14.875" style="35"/>
    <col min="14" max="17" width="14.875" style="171"/>
    <col min="18" max="18" width="14.875" style="35"/>
    <col min="19" max="19" width="14.875" style="37"/>
    <col min="20" max="16384" width="14.87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324</v>
      </c>
      <c r="B3" s="72"/>
      <c r="C3" s="72"/>
      <c r="D3" s="72"/>
    </row>
    <row r="4" spans="1:19" ht="47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334</v>
      </c>
      <c r="B5" s="31" t="s">
        <v>11</v>
      </c>
      <c r="C5" s="31" t="s">
        <v>12</v>
      </c>
      <c r="D5" s="31" t="s">
        <v>157</v>
      </c>
      <c r="E5" s="31" t="s">
        <v>323</v>
      </c>
      <c r="F5" s="31" t="s">
        <v>15</v>
      </c>
      <c r="G5" s="31" t="s">
        <v>16</v>
      </c>
      <c r="H5" s="31" t="s">
        <v>324</v>
      </c>
      <c r="I5" s="32" t="s">
        <v>18</v>
      </c>
      <c r="J5" s="32">
        <v>3</v>
      </c>
      <c r="K5" s="32"/>
      <c r="L5" s="34">
        <v>1668468.6554399999</v>
      </c>
      <c r="M5" s="34">
        <v>1885189.7799999998</v>
      </c>
      <c r="N5" s="34">
        <v>1885189.7799999998</v>
      </c>
      <c r="O5" s="34">
        <f>S5</f>
        <v>1709722.0627199998</v>
      </c>
      <c r="P5" s="34">
        <f>O5*1.044</f>
        <v>1784949.8334796799</v>
      </c>
      <c r="Q5" s="34">
        <f>P5*1.045</f>
        <v>1865272.5759862654</v>
      </c>
      <c r="S5" s="145">
        <f>'[1]6105IT'!$E$8</f>
        <v>1709722.0627199998</v>
      </c>
    </row>
    <row r="6" spans="1:19" x14ac:dyDescent="0.25">
      <c r="A6" s="31" t="s">
        <v>329</v>
      </c>
      <c r="B6" s="31" t="s">
        <v>11</v>
      </c>
      <c r="C6" s="31" t="s">
        <v>12</v>
      </c>
      <c r="D6" s="31" t="s">
        <v>1630</v>
      </c>
      <c r="E6" s="31" t="s">
        <v>323</v>
      </c>
      <c r="F6" s="31" t="s">
        <v>15</v>
      </c>
      <c r="G6" s="31" t="s">
        <v>16</v>
      </c>
      <c r="H6" s="31" t="s">
        <v>324</v>
      </c>
      <c r="I6" s="32" t="s">
        <v>18</v>
      </c>
      <c r="J6" s="32">
        <v>3</v>
      </c>
      <c r="K6" s="32"/>
      <c r="L6" s="34">
        <v>20000</v>
      </c>
      <c r="M6" s="34">
        <v>20000</v>
      </c>
      <c r="N6" s="34">
        <v>20000</v>
      </c>
      <c r="O6" s="34">
        <v>20000</v>
      </c>
      <c r="P6" s="34">
        <f t="shared" ref="P6:P17" si="0">O6*1.044</f>
        <v>20880</v>
      </c>
      <c r="Q6" s="34">
        <f t="shared" ref="Q6:Q17" si="1">P6*1.045</f>
        <v>21819.599999999999</v>
      </c>
      <c r="S6" s="145"/>
    </row>
    <row r="7" spans="1:19" x14ac:dyDescent="0.25">
      <c r="A7" s="31" t="s">
        <v>330</v>
      </c>
      <c r="B7" s="31" t="s">
        <v>11</v>
      </c>
      <c r="C7" s="31" t="s">
        <v>12</v>
      </c>
      <c r="D7" s="31" t="s">
        <v>153</v>
      </c>
      <c r="E7" s="31" t="s">
        <v>323</v>
      </c>
      <c r="F7" s="31" t="s">
        <v>15</v>
      </c>
      <c r="G7" s="31" t="s">
        <v>16</v>
      </c>
      <c r="H7" s="31" t="s">
        <v>324</v>
      </c>
      <c r="I7" s="32" t="s">
        <v>18</v>
      </c>
      <c r="J7" s="32">
        <v>3</v>
      </c>
      <c r="K7" s="32"/>
      <c r="L7" s="34">
        <v>121555.72827999998</v>
      </c>
      <c r="M7" s="34">
        <v>119933.44</v>
      </c>
      <c r="N7" s="34">
        <v>119933.44</v>
      </c>
      <c r="O7" s="34">
        <f t="shared" ref="O7:O17" si="2">S7</f>
        <v>125810.17855999999</v>
      </c>
      <c r="P7" s="34">
        <f t="shared" si="0"/>
        <v>131345.82641663999</v>
      </c>
      <c r="Q7" s="34">
        <f t="shared" si="1"/>
        <v>137256.38860538878</v>
      </c>
      <c r="S7" s="145">
        <f>'[1]6105IT'!$I$8</f>
        <v>125810.17855999999</v>
      </c>
    </row>
    <row r="8" spans="1:19" x14ac:dyDescent="0.25">
      <c r="A8" s="31" t="s">
        <v>327</v>
      </c>
      <c r="B8" s="31" t="s">
        <v>11</v>
      </c>
      <c r="C8" s="31" t="s">
        <v>12</v>
      </c>
      <c r="D8" s="31" t="s">
        <v>41</v>
      </c>
      <c r="E8" s="31" t="s">
        <v>323</v>
      </c>
      <c r="F8" s="31" t="s">
        <v>15</v>
      </c>
      <c r="G8" s="31" t="s">
        <v>16</v>
      </c>
      <c r="H8" s="31" t="s">
        <v>324</v>
      </c>
      <c r="I8" s="32" t="s">
        <v>18</v>
      </c>
      <c r="J8" s="32">
        <v>3</v>
      </c>
      <c r="K8" s="32"/>
      <c r="L8" s="34">
        <v>320907.12265919999</v>
      </c>
      <c r="M8" s="34">
        <v>346385.14079999999</v>
      </c>
      <c r="N8" s="34">
        <v>346385.14079999999</v>
      </c>
      <c r="O8" s="34">
        <f t="shared" si="2"/>
        <v>332138.87139839999</v>
      </c>
      <c r="P8" s="34">
        <f t="shared" si="0"/>
        <v>346752.98173992959</v>
      </c>
      <c r="Q8" s="34">
        <f t="shared" si="1"/>
        <v>362356.86591822637</v>
      </c>
      <c r="S8" s="145">
        <f>'[1]6105IT'!$K$8</f>
        <v>332138.87139839999</v>
      </c>
    </row>
    <row r="9" spans="1:19" x14ac:dyDescent="0.25">
      <c r="A9" s="31" t="s">
        <v>326</v>
      </c>
      <c r="B9" s="31" t="s">
        <v>11</v>
      </c>
      <c r="C9" s="31" t="s">
        <v>12</v>
      </c>
      <c r="D9" s="31" t="s">
        <v>36</v>
      </c>
      <c r="E9" s="31" t="s">
        <v>323</v>
      </c>
      <c r="F9" s="31" t="s">
        <v>15</v>
      </c>
      <c r="G9" s="31" t="s">
        <v>16</v>
      </c>
      <c r="H9" s="31" t="s">
        <v>324</v>
      </c>
      <c r="I9" s="32" t="s">
        <v>18</v>
      </c>
      <c r="J9" s="32">
        <v>3</v>
      </c>
      <c r="K9" s="32"/>
      <c r="L9" s="34">
        <v>91225.44</v>
      </c>
      <c r="M9" s="34">
        <v>177108.48000000001</v>
      </c>
      <c r="N9" s="34">
        <v>177108.48000000001</v>
      </c>
      <c r="O9" s="34">
        <f t="shared" si="2"/>
        <v>158734.08000000002</v>
      </c>
      <c r="P9" s="34">
        <f t="shared" si="0"/>
        <v>165718.37952000002</v>
      </c>
      <c r="Q9" s="34">
        <f t="shared" si="1"/>
        <v>173175.70659839999</v>
      </c>
      <c r="S9" s="145">
        <f>'[1]6105IT'!$L$8</f>
        <v>158734.08000000002</v>
      </c>
    </row>
    <row r="10" spans="1:19" x14ac:dyDescent="0.25">
      <c r="A10" s="31" t="s">
        <v>333</v>
      </c>
      <c r="B10" s="31" t="s">
        <v>11</v>
      </c>
      <c r="C10" s="31" t="s">
        <v>12</v>
      </c>
      <c r="D10" s="31" t="s">
        <v>47</v>
      </c>
      <c r="E10" s="31" t="s">
        <v>323</v>
      </c>
      <c r="F10" s="31" t="s">
        <v>15</v>
      </c>
      <c r="G10" s="31" t="s">
        <v>16</v>
      </c>
      <c r="H10" s="31" t="s">
        <v>324</v>
      </c>
      <c r="I10" s="32" t="s">
        <v>18</v>
      </c>
      <c r="J10" s="32">
        <v>3</v>
      </c>
      <c r="K10" s="32"/>
      <c r="L10" s="34">
        <v>501272.28</v>
      </c>
      <c r="M10" s="34">
        <v>613809.93999999994</v>
      </c>
      <c r="N10" s="34">
        <v>613809.93999999994</v>
      </c>
      <c r="O10" s="34">
        <f t="shared" si="2"/>
        <v>544238.90711999999</v>
      </c>
      <c r="P10" s="34">
        <f t="shared" si="0"/>
        <v>568185.41903327999</v>
      </c>
      <c r="Q10" s="34">
        <f t="shared" si="1"/>
        <v>593753.76288977754</v>
      </c>
      <c r="S10" s="145">
        <f>'[1]6105IT'!$M$8</f>
        <v>544238.90711999999</v>
      </c>
    </row>
    <row r="11" spans="1:19" x14ac:dyDescent="0.25">
      <c r="A11" s="31" t="s">
        <v>355</v>
      </c>
      <c r="B11" s="31" t="s">
        <v>11</v>
      </c>
      <c r="C11" s="31" t="s">
        <v>12</v>
      </c>
      <c r="D11" s="31" t="s">
        <v>45</v>
      </c>
      <c r="E11" s="31" t="s">
        <v>323</v>
      </c>
      <c r="F11" s="31" t="s">
        <v>37</v>
      </c>
      <c r="G11" s="31" t="s">
        <v>16</v>
      </c>
      <c r="H11" s="31" t="s">
        <v>324</v>
      </c>
      <c r="I11" s="32" t="s">
        <v>38</v>
      </c>
      <c r="J11" s="32">
        <v>3</v>
      </c>
      <c r="K11" s="32"/>
      <c r="L11" s="34">
        <v>29873.279999999999</v>
      </c>
      <c r="M11" s="34">
        <v>36160.559999999998</v>
      </c>
      <c r="N11" s="34">
        <v>36160.559999999998</v>
      </c>
      <c r="O11" s="34">
        <f t="shared" si="2"/>
        <v>32402.1414</v>
      </c>
      <c r="P11" s="34">
        <f t="shared" si="0"/>
        <v>33827.835621600003</v>
      </c>
      <c r="Q11" s="34">
        <f t="shared" si="1"/>
        <v>35350.088224571999</v>
      </c>
      <c r="S11" s="145">
        <f>'[1]6105IT'!$N$8</f>
        <v>32402.1414</v>
      </c>
    </row>
    <row r="12" spans="1:19" x14ac:dyDescent="0.25">
      <c r="A12" s="31" t="s">
        <v>332</v>
      </c>
      <c r="B12" s="31" t="s">
        <v>11</v>
      </c>
      <c r="C12" s="31" t="s">
        <v>12</v>
      </c>
      <c r="D12" s="31" t="s">
        <v>156</v>
      </c>
      <c r="E12" s="31" t="s">
        <v>323</v>
      </c>
      <c r="F12" s="31" t="s">
        <v>15</v>
      </c>
      <c r="G12" s="31" t="s">
        <v>16</v>
      </c>
      <c r="H12" s="31" t="s">
        <v>324</v>
      </c>
      <c r="I12" s="32" t="s">
        <v>18</v>
      </c>
      <c r="J12" s="32">
        <v>3</v>
      </c>
      <c r="K12" s="32"/>
      <c r="L12" s="34">
        <v>12141.251879999998</v>
      </c>
      <c r="M12" s="34">
        <v>11574.119999999999</v>
      </c>
      <c r="N12" s="34">
        <v>11574.119999999999</v>
      </c>
      <c r="O12" s="34">
        <f t="shared" si="2"/>
        <v>12141.251879999998</v>
      </c>
      <c r="P12" s="34">
        <f t="shared" si="0"/>
        <v>12675.466962719998</v>
      </c>
      <c r="Q12" s="34">
        <f t="shared" si="1"/>
        <v>13245.862976042397</v>
      </c>
      <c r="S12" s="145">
        <f>'[1]6105IT'!$P$8</f>
        <v>12141.251879999998</v>
      </c>
    </row>
    <row r="13" spans="1:19" x14ac:dyDescent="0.25">
      <c r="A13" s="31" t="s">
        <v>325</v>
      </c>
      <c r="B13" s="31" t="s">
        <v>11</v>
      </c>
      <c r="C13" s="31" t="s">
        <v>12</v>
      </c>
      <c r="D13" s="31" t="s">
        <v>151</v>
      </c>
      <c r="E13" s="31" t="s">
        <v>323</v>
      </c>
      <c r="F13" s="31" t="s">
        <v>15</v>
      </c>
      <c r="G13" s="31" t="s">
        <v>16</v>
      </c>
      <c r="H13" s="31" t="s">
        <v>324</v>
      </c>
      <c r="I13" s="32" t="s">
        <v>18</v>
      </c>
      <c r="J13" s="32">
        <v>3</v>
      </c>
      <c r="K13" s="32"/>
      <c r="L13" s="34">
        <v>594</v>
      </c>
      <c r="M13" s="34">
        <v>556.20000000000005</v>
      </c>
      <c r="N13" s="34">
        <v>556.20000000000005</v>
      </c>
      <c r="O13" s="34">
        <f t="shared" si="2"/>
        <v>618</v>
      </c>
      <c r="P13" s="34">
        <f t="shared" si="0"/>
        <v>645.19200000000001</v>
      </c>
      <c r="Q13" s="34">
        <f t="shared" si="1"/>
        <v>674.22564</v>
      </c>
      <c r="S13" s="145">
        <f>'[1]6105IT'!$R$8</f>
        <v>618</v>
      </c>
    </row>
    <row r="14" spans="1:19" hidden="1" x14ac:dyDescent="0.25">
      <c r="A14" s="31" t="s">
        <v>331</v>
      </c>
      <c r="B14" s="31" t="s">
        <v>11</v>
      </c>
      <c r="C14" s="31" t="s">
        <v>12</v>
      </c>
      <c r="D14" s="31" t="s">
        <v>155</v>
      </c>
      <c r="E14" s="31" t="s">
        <v>323</v>
      </c>
      <c r="F14" s="31" t="s">
        <v>37</v>
      </c>
      <c r="G14" s="31" t="s">
        <v>16</v>
      </c>
      <c r="H14" s="31" t="s">
        <v>324</v>
      </c>
      <c r="I14" s="32" t="s">
        <v>38</v>
      </c>
      <c r="J14" s="32">
        <v>1</v>
      </c>
      <c r="K14" s="32"/>
      <c r="L14" s="34">
        <v>0</v>
      </c>
      <c r="M14" s="34">
        <v>0</v>
      </c>
      <c r="N14" s="34">
        <v>0</v>
      </c>
      <c r="O14" s="34">
        <f t="shared" si="2"/>
        <v>0</v>
      </c>
      <c r="P14" s="34">
        <f t="shared" si="0"/>
        <v>0</v>
      </c>
      <c r="Q14" s="34">
        <f t="shared" si="1"/>
        <v>0</v>
      </c>
      <c r="S14" s="145"/>
    </row>
    <row r="15" spans="1:19" x14ac:dyDescent="0.25">
      <c r="A15" s="31" t="s">
        <v>328</v>
      </c>
      <c r="B15" s="31" t="s">
        <v>11</v>
      </c>
      <c r="C15" s="31" t="s">
        <v>12</v>
      </c>
      <c r="D15" s="31" t="s">
        <v>43</v>
      </c>
      <c r="E15" s="31" t="s">
        <v>323</v>
      </c>
      <c r="F15" s="31" t="s">
        <v>15</v>
      </c>
      <c r="G15" s="31" t="s">
        <v>16</v>
      </c>
      <c r="H15" s="31" t="s">
        <v>324</v>
      </c>
      <c r="I15" s="32" t="s">
        <v>18</v>
      </c>
      <c r="J15" s="32">
        <v>3</v>
      </c>
      <c r="K15" s="32"/>
      <c r="L15" s="34">
        <v>6590.0791608</v>
      </c>
      <c r="M15" s="34">
        <v>10576.259599999999</v>
      </c>
      <c r="N15" s="34">
        <v>10576.259599999999</v>
      </c>
      <c r="O15" s="34">
        <f t="shared" si="2"/>
        <v>6492.0792000000001</v>
      </c>
      <c r="P15" s="34">
        <f t="shared" si="0"/>
        <v>6777.7306848000007</v>
      </c>
      <c r="Q15" s="34">
        <f t="shared" si="1"/>
        <v>7082.7285656160002</v>
      </c>
      <c r="S15" s="145">
        <f>'[1]6105IT'!$T$8</f>
        <v>6492.0792000000001</v>
      </c>
    </row>
    <row r="16" spans="1:19" x14ac:dyDescent="0.25">
      <c r="A16" s="31"/>
      <c r="B16" s="31"/>
      <c r="C16" s="31"/>
      <c r="D16" s="31"/>
      <c r="E16" s="31"/>
      <c r="F16" s="31"/>
      <c r="G16" s="31"/>
      <c r="H16" s="31"/>
      <c r="I16" s="32"/>
      <c r="J16" s="32"/>
      <c r="K16" s="32"/>
      <c r="L16" s="34"/>
      <c r="M16" s="34"/>
      <c r="N16" s="34"/>
      <c r="O16" s="34"/>
      <c r="P16" s="34"/>
      <c r="Q16" s="34"/>
      <c r="S16" s="145"/>
    </row>
    <row r="17" spans="1:19" x14ac:dyDescent="0.25">
      <c r="A17" s="31" t="s">
        <v>322</v>
      </c>
      <c r="B17" s="31" t="s">
        <v>11</v>
      </c>
      <c r="C17" s="31" t="s">
        <v>12</v>
      </c>
      <c r="D17" s="31" t="s">
        <v>30</v>
      </c>
      <c r="E17" s="31" t="s">
        <v>323</v>
      </c>
      <c r="F17" s="31" t="s">
        <v>15</v>
      </c>
      <c r="G17" s="31" t="s">
        <v>16</v>
      </c>
      <c r="H17" s="31" t="s">
        <v>324</v>
      </c>
      <c r="I17" s="32" t="s">
        <v>18</v>
      </c>
      <c r="J17" s="32">
        <v>3</v>
      </c>
      <c r="K17" s="32"/>
      <c r="L17" s="34">
        <v>16684.686554399996</v>
      </c>
      <c r="M17" s="34">
        <v>22148.896000000001</v>
      </c>
      <c r="N17" s="34">
        <v>22148.896000000001</v>
      </c>
      <c r="O17" s="34">
        <f t="shared" si="2"/>
        <v>17097.220627199997</v>
      </c>
      <c r="P17" s="34">
        <f t="shared" si="0"/>
        <v>17849.498334796797</v>
      </c>
      <c r="Q17" s="34">
        <f t="shared" si="1"/>
        <v>18652.725759862653</v>
      </c>
      <c r="S17" s="145">
        <f>'[1]6105IT'!$Q$8</f>
        <v>17097.220627199997</v>
      </c>
    </row>
    <row r="18" spans="1:19" s="107" customFormat="1" x14ac:dyDescent="0.25">
      <c r="A18" s="52" t="s">
        <v>339</v>
      </c>
      <c r="B18" s="52" t="s">
        <v>11</v>
      </c>
      <c r="C18" s="52" t="s">
        <v>12</v>
      </c>
      <c r="D18" s="52" t="s">
        <v>20</v>
      </c>
      <c r="E18" s="52" t="s">
        <v>323</v>
      </c>
      <c r="F18" s="52" t="s">
        <v>15</v>
      </c>
      <c r="G18" s="52" t="s">
        <v>16</v>
      </c>
      <c r="H18" s="52" t="s">
        <v>324</v>
      </c>
      <c r="I18" s="104" t="s">
        <v>18</v>
      </c>
      <c r="J18" s="104">
        <v>3</v>
      </c>
      <c r="K18" s="104"/>
      <c r="L18" s="105">
        <v>10000</v>
      </c>
      <c r="M18" s="105">
        <v>6000</v>
      </c>
      <c r="N18" s="105">
        <v>6000</v>
      </c>
      <c r="O18" s="105">
        <v>8000</v>
      </c>
      <c r="P18" s="105">
        <v>9000</v>
      </c>
      <c r="Q18" s="105">
        <v>10000</v>
      </c>
      <c r="S18" s="106"/>
    </row>
    <row r="19" spans="1:19" s="107" customFormat="1" x14ac:dyDescent="0.25">
      <c r="A19" s="52" t="s">
        <v>341</v>
      </c>
      <c r="B19" s="52" t="s">
        <v>11</v>
      </c>
      <c r="C19" s="52" t="s">
        <v>12</v>
      </c>
      <c r="D19" s="52" t="s">
        <v>24</v>
      </c>
      <c r="E19" s="52" t="s">
        <v>323</v>
      </c>
      <c r="F19" s="52" t="s">
        <v>15</v>
      </c>
      <c r="G19" s="52" t="s">
        <v>16</v>
      </c>
      <c r="H19" s="52" t="s">
        <v>324</v>
      </c>
      <c r="I19" s="104" t="s">
        <v>18</v>
      </c>
      <c r="J19" s="104">
        <v>3</v>
      </c>
      <c r="K19" s="104"/>
      <c r="L19" s="105">
        <v>4000</v>
      </c>
      <c r="M19" s="105">
        <v>5400</v>
      </c>
      <c r="N19" s="105">
        <v>5400</v>
      </c>
      <c r="O19" s="105">
        <v>5700</v>
      </c>
      <c r="P19" s="105">
        <v>5800</v>
      </c>
      <c r="Q19" s="105">
        <v>5900</v>
      </c>
      <c r="S19" s="106"/>
    </row>
    <row r="20" spans="1:19" x14ac:dyDescent="0.25">
      <c r="A20" s="31" t="s">
        <v>336</v>
      </c>
      <c r="B20" s="31" t="s">
        <v>11</v>
      </c>
      <c r="C20" s="31" t="s">
        <v>12</v>
      </c>
      <c r="D20" s="31" t="s">
        <v>28</v>
      </c>
      <c r="E20" s="31" t="s">
        <v>323</v>
      </c>
      <c r="F20" s="31" t="s">
        <v>15</v>
      </c>
      <c r="G20" s="31" t="s">
        <v>16</v>
      </c>
      <c r="H20" s="31" t="s">
        <v>324</v>
      </c>
      <c r="I20" s="32" t="s">
        <v>18</v>
      </c>
      <c r="J20" s="32">
        <v>3</v>
      </c>
      <c r="K20" s="32"/>
      <c r="L20" s="43">
        <v>100000</v>
      </c>
      <c r="M20" s="43">
        <v>60000</v>
      </c>
      <c r="N20" s="43">
        <v>60000</v>
      </c>
      <c r="O20" s="43">
        <v>100000</v>
      </c>
      <c r="P20" s="43">
        <v>110000</v>
      </c>
      <c r="Q20" s="43">
        <v>110000</v>
      </c>
    </row>
    <row r="21" spans="1:19" x14ac:dyDescent="0.25">
      <c r="A21" s="31" t="s">
        <v>338</v>
      </c>
      <c r="B21" s="31" t="s">
        <v>11</v>
      </c>
      <c r="C21" s="31" t="s">
        <v>12</v>
      </c>
      <c r="D21" s="31" t="s">
        <v>13</v>
      </c>
      <c r="E21" s="31" t="s">
        <v>323</v>
      </c>
      <c r="F21" s="31" t="s">
        <v>15</v>
      </c>
      <c r="G21" s="31" t="s">
        <v>16</v>
      </c>
      <c r="H21" s="31" t="s">
        <v>324</v>
      </c>
      <c r="I21" s="32" t="s">
        <v>18</v>
      </c>
      <c r="J21" s="32">
        <v>3</v>
      </c>
      <c r="K21" s="32"/>
      <c r="L21" s="43">
        <v>50000</v>
      </c>
      <c r="M21" s="43">
        <v>60000</v>
      </c>
      <c r="N21" s="43">
        <v>60000</v>
      </c>
      <c r="O21" s="43">
        <v>63600</v>
      </c>
      <c r="P21" s="43">
        <v>67416</v>
      </c>
      <c r="Q21" s="43">
        <v>71460.960000000006</v>
      </c>
    </row>
    <row r="22" spans="1:19" x14ac:dyDescent="0.25">
      <c r="A22" s="31" t="s">
        <v>337</v>
      </c>
      <c r="B22" s="31" t="s">
        <v>11</v>
      </c>
      <c r="C22" s="31" t="s">
        <v>12</v>
      </c>
      <c r="D22" s="31" t="s">
        <v>32</v>
      </c>
      <c r="E22" s="31" t="s">
        <v>323</v>
      </c>
      <c r="F22" s="31" t="s">
        <v>15</v>
      </c>
      <c r="G22" s="31" t="s">
        <v>16</v>
      </c>
      <c r="H22" s="31" t="s">
        <v>324</v>
      </c>
      <c r="I22" s="32" t="s">
        <v>18</v>
      </c>
      <c r="J22" s="32">
        <v>3</v>
      </c>
      <c r="K22" s="32"/>
      <c r="L22" s="43">
        <v>15000</v>
      </c>
      <c r="M22" s="43">
        <v>0</v>
      </c>
      <c r="N22" s="43">
        <v>0</v>
      </c>
      <c r="O22" s="43">
        <v>10000</v>
      </c>
      <c r="P22" s="43">
        <v>10000</v>
      </c>
      <c r="Q22" s="43">
        <v>10000</v>
      </c>
    </row>
    <row r="23" spans="1:19" x14ac:dyDescent="0.25">
      <c r="A23" s="31" t="s">
        <v>335</v>
      </c>
      <c r="B23" s="31" t="s">
        <v>11</v>
      </c>
      <c r="C23" s="31" t="s">
        <v>12</v>
      </c>
      <c r="D23" s="31" t="s">
        <v>26</v>
      </c>
      <c r="E23" s="31" t="s">
        <v>323</v>
      </c>
      <c r="F23" s="31" t="s">
        <v>15</v>
      </c>
      <c r="G23" s="31" t="s">
        <v>16</v>
      </c>
      <c r="H23" s="31" t="s">
        <v>324</v>
      </c>
      <c r="I23" s="32" t="s">
        <v>18</v>
      </c>
      <c r="J23" s="32">
        <v>3</v>
      </c>
      <c r="K23" s="32"/>
      <c r="L23" s="43">
        <v>5000</v>
      </c>
      <c r="M23" s="43">
        <v>0</v>
      </c>
      <c r="N23" s="43">
        <v>0</v>
      </c>
      <c r="O23" s="43">
        <v>5300</v>
      </c>
      <c r="P23" s="43">
        <v>5400</v>
      </c>
      <c r="Q23" s="43">
        <v>5500</v>
      </c>
    </row>
    <row r="24" spans="1:19" x14ac:dyDescent="0.25">
      <c r="A24" s="31" t="s">
        <v>340</v>
      </c>
      <c r="B24" s="31" t="s">
        <v>11</v>
      </c>
      <c r="C24" s="31" t="s">
        <v>12</v>
      </c>
      <c r="D24" s="31" t="s">
        <v>22</v>
      </c>
      <c r="E24" s="31" t="s">
        <v>323</v>
      </c>
      <c r="F24" s="31" t="s">
        <v>15</v>
      </c>
      <c r="G24" s="31" t="s">
        <v>16</v>
      </c>
      <c r="H24" s="31" t="s">
        <v>324</v>
      </c>
      <c r="I24" s="32" t="s">
        <v>18</v>
      </c>
      <c r="J24" s="32">
        <v>3</v>
      </c>
      <c r="K24" s="32"/>
      <c r="L24" s="43">
        <v>20000</v>
      </c>
      <c r="M24" s="43">
        <v>20000</v>
      </c>
      <c r="N24" s="43">
        <v>20000</v>
      </c>
      <c r="O24" s="43">
        <v>21200</v>
      </c>
      <c r="P24" s="43">
        <v>22472</v>
      </c>
      <c r="Q24" s="43">
        <v>23820.32</v>
      </c>
    </row>
    <row r="25" spans="1:19" x14ac:dyDescent="0.25">
      <c r="A25" s="31" t="s">
        <v>342</v>
      </c>
      <c r="B25" s="31" t="s">
        <v>11</v>
      </c>
      <c r="C25" s="31" t="s">
        <v>228</v>
      </c>
      <c r="D25" s="31" t="s">
        <v>1728</v>
      </c>
      <c r="E25" s="31" t="s">
        <v>323</v>
      </c>
      <c r="F25" s="31" t="s">
        <v>15</v>
      </c>
      <c r="G25" s="31" t="s">
        <v>16</v>
      </c>
      <c r="H25" s="31" t="s">
        <v>324</v>
      </c>
      <c r="I25" s="32" t="s">
        <v>18</v>
      </c>
      <c r="J25" s="32">
        <v>1</v>
      </c>
      <c r="K25" s="32"/>
      <c r="L25" s="43">
        <v>505000</v>
      </c>
      <c r="M25" s="43">
        <v>505000</v>
      </c>
      <c r="N25" s="43">
        <v>505000</v>
      </c>
      <c r="O25" s="43">
        <v>535300</v>
      </c>
      <c r="P25" s="43">
        <v>567418</v>
      </c>
      <c r="Q25" s="43">
        <v>601463.07999999996</v>
      </c>
    </row>
    <row r="26" spans="1:19" x14ac:dyDescent="0.25">
      <c r="A26" s="31" t="s">
        <v>343</v>
      </c>
      <c r="B26" s="31" t="s">
        <v>11</v>
      </c>
      <c r="C26" s="31" t="s">
        <v>12</v>
      </c>
      <c r="D26" s="31" t="s">
        <v>1729</v>
      </c>
      <c r="E26" s="31" t="s">
        <v>323</v>
      </c>
      <c r="F26" s="31" t="s">
        <v>15</v>
      </c>
      <c r="G26" s="31" t="s">
        <v>16</v>
      </c>
      <c r="H26" s="31" t="s">
        <v>324</v>
      </c>
      <c r="I26" s="32" t="s">
        <v>18</v>
      </c>
      <c r="J26" s="32">
        <v>1</v>
      </c>
      <c r="K26" s="32"/>
      <c r="L26" s="43">
        <v>1700000</v>
      </c>
      <c r="M26" s="43">
        <v>1500000</v>
      </c>
      <c r="N26" s="43">
        <v>1500000</v>
      </c>
      <c r="O26" s="43">
        <v>1464700</v>
      </c>
      <c r="P26" s="43">
        <f>1910120-477538</f>
        <v>1432582</v>
      </c>
      <c r="Q26" s="43">
        <v>2024727.2</v>
      </c>
    </row>
    <row r="27" spans="1:19" hidden="1" x14ac:dyDescent="0.25">
      <c r="A27" s="31" t="s">
        <v>361</v>
      </c>
      <c r="B27" s="31" t="s">
        <v>11</v>
      </c>
      <c r="C27" s="31" t="s">
        <v>12</v>
      </c>
      <c r="D27" s="31" t="s">
        <v>362</v>
      </c>
      <c r="E27" s="31" t="s">
        <v>323</v>
      </c>
      <c r="F27" s="31" t="s">
        <v>295</v>
      </c>
      <c r="G27" s="31" t="s">
        <v>16</v>
      </c>
      <c r="H27" s="31" t="s">
        <v>324</v>
      </c>
      <c r="I27" s="32" t="s">
        <v>38</v>
      </c>
      <c r="J27" s="32">
        <v>1</v>
      </c>
      <c r="K27" s="32"/>
      <c r="L27" s="34"/>
      <c r="M27" s="34"/>
      <c r="N27" s="34"/>
      <c r="O27" s="34"/>
      <c r="P27" s="34">
        <v>0</v>
      </c>
      <c r="Q27" s="34">
        <v>0</v>
      </c>
    </row>
    <row r="28" spans="1:19" x14ac:dyDescent="0.25">
      <c r="A28" s="31" t="s">
        <v>351</v>
      </c>
      <c r="B28" s="31" t="s">
        <v>11</v>
      </c>
      <c r="C28" s="31" t="s">
        <v>12</v>
      </c>
      <c r="D28" s="31" t="s">
        <v>1727</v>
      </c>
      <c r="E28" s="31" t="s">
        <v>323</v>
      </c>
      <c r="F28" s="31" t="s">
        <v>15</v>
      </c>
      <c r="G28" s="31" t="s">
        <v>16</v>
      </c>
      <c r="H28" s="31" t="s">
        <v>324</v>
      </c>
      <c r="I28" s="32" t="s">
        <v>18</v>
      </c>
      <c r="J28" s="32">
        <v>3</v>
      </c>
      <c r="K28" s="32"/>
      <c r="L28" s="43">
        <v>3000000</v>
      </c>
      <c r="M28" s="43">
        <v>3000000</v>
      </c>
      <c r="N28" s="43">
        <v>3000000</v>
      </c>
      <c r="O28" s="43">
        <v>4000000</v>
      </c>
      <c r="P28" s="43">
        <v>4240000</v>
      </c>
      <c r="Q28" s="43">
        <v>4494400</v>
      </c>
    </row>
    <row r="29" spans="1:19" x14ac:dyDescent="0.25">
      <c r="A29" s="31" t="s">
        <v>350</v>
      </c>
      <c r="B29" s="31" t="s">
        <v>11</v>
      </c>
      <c r="C29" s="31" t="s">
        <v>12</v>
      </c>
      <c r="D29" s="31" t="s">
        <v>1726</v>
      </c>
      <c r="E29" s="31" t="s">
        <v>323</v>
      </c>
      <c r="F29" s="31" t="s">
        <v>37</v>
      </c>
      <c r="G29" s="31" t="s">
        <v>16</v>
      </c>
      <c r="H29" s="31" t="s">
        <v>324</v>
      </c>
      <c r="I29" s="32" t="s">
        <v>38</v>
      </c>
      <c r="J29" s="32">
        <v>3</v>
      </c>
      <c r="K29" s="32"/>
      <c r="L29" s="43">
        <v>2800000</v>
      </c>
      <c r="M29" s="43">
        <v>2800000</v>
      </c>
      <c r="N29" s="43">
        <v>2800000</v>
      </c>
      <c r="O29" s="43">
        <v>2800000</v>
      </c>
      <c r="P29" s="43">
        <v>3000000</v>
      </c>
      <c r="Q29" s="43">
        <v>3370800</v>
      </c>
    </row>
    <row r="30" spans="1:19" x14ac:dyDescent="0.25">
      <c r="A30" s="31" t="s">
        <v>349</v>
      </c>
      <c r="B30" s="31" t="s">
        <v>11</v>
      </c>
      <c r="C30" s="31" t="s">
        <v>12</v>
      </c>
      <c r="D30" s="31" t="s">
        <v>1725</v>
      </c>
      <c r="E30" s="31" t="s">
        <v>323</v>
      </c>
      <c r="F30" s="31" t="s">
        <v>37</v>
      </c>
      <c r="G30" s="31" t="s">
        <v>16</v>
      </c>
      <c r="H30" s="31" t="s">
        <v>324</v>
      </c>
      <c r="I30" s="32" t="s">
        <v>38</v>
      </c>
      <c r="J30" s="32">
        <v>3</v>
      </c>
      <c r="K30" s="32"/>
      <c r="L30" s="43">
        <v>200000</v>
      </c>
      <c r="M30" s="43">
        <v>200000</v>
      </c>
      <c r="N30" s="43">
        <v>200000</v>
      </c>
      <c r="O30" s="43">
        <v>212000</v>
      </c>
      <c r="P30" s="43">
        <v>224720</v>
      </c>
      <c r="Q30" s="43">
        <v>238203.2</v>
      </c>
    </row>
    <row r="31" spans="1:19" x14ac:dyDescent="0.25">
      <c r="A31" s="31"/>
      <c r="B31" s="31"/>
      <c r="C31" s="31"/>
      <c r="E31" s="31"/>
      <c r="F31" s="31"/>
      <c r="G31" s="31"/>
      <c r="H31" s="31"/>
      <c r="I31" s="32"/>
      <c r="J31" s="32"/>
      <c r="K31" s="32"/>
      <c r="L31" s="43"/>
      <c r="M31" s="43"/>
      <c r="N31" s="43"/>
      <c r="O31" s="43"/>
      <c r="P31" s="43"/>
      <c r="Q31" s="43"/>
    </row>
    <row r="32" spans="1:19" x14ac:dyDescent="0.25">
      <c r="A32" s="71" t="s">
        <v>345</v>
      </c>
      <c r="B32" s="31" t="s">
        <v>346</v>
      </c>
      <c r="C32" s="31" t="s">
        <v>347</v>
      </c>
      <c r="D32" s="31" t="s">
        <v>348</v>
      </c>
      <c r="E32" s="31" t="s">
        <v>323</v>
      </c>
      <c r="F32" s="31" t="s">
        <v>15</v>
      </c>
      <c r="G32" s="31" t="s">
        <v>16</v>
      </c>
      <c r="H32" s="31" t="s">
        <v>324</v>
      </c>
      <c r="I32" s="32" t="s">
        <v>18</v>
      </c>
      <c r="J32" s="32">
        <v>3</v>
      </c>
      <c r="K32" s="32"/>
      <c r="L32" s="43">
        <v>300000</v>
      </c>
      <c r="M32" s="43">
        <v>300000</v>
      </c>
      <c r="N32" s="43">
        <v>300000</v>
      </c>
      <c r="O32" s="43">
        <v>300000</v>
      </c>
      <c r="P32" s="43">
        <v>320000</v>
      </c>
      <c r="Q32" s="43">
        <v>330000</v>
      </c>
    </row>
    <row r="33" spans="1:19" x14ac:dyDescent="0.25">
      <c r="A33" s="31"/>
      <c r="B33" s="31"/>
      <c r="C33" s="31"/>
      <c r="D33" s="31"/>
      <c r="E33" s="31"/>
      <c r="F33" s="31"/>
      <c r="G33" s="31"/>
      <c r="H33" s="31"/>
      <c r="I33" s="32"/>
      <c r="J33" s="32"/>
      <c r="K33" s="32"/>
      <c r="L33" s="43"/>
      <c r="M33" s="43"/>
      <c r="N33" s="43"/>
      <c r="O33" s="43"/>
      <c r="P33" s="43"/>
      <c r="Q33" s="43"/>
    </row>
    <row r="34" spans="1:19" s="107" customFormat="1" x14ac:dyDescent="0.25">
      <c r="A34" s="52" t="s">
        <v>1174</v>
      </c>
      <c r="B34" s="52" t="s">
        <v>344</v>
      </c>
      <c r="C34" s="52" t="s">
        <v>12</v>
      </c>
      <c r="D34" s="52" t="s">
        <v>1724</v>
      </c>
      <c r="E34" s="52" t="s">
        <v>323</v>
      </c>
      <c r="F34" s="52" t="s">
        <v>15</v>
      </c>
      <c r="G34" s="52" t="s">
        <v>16</v>
      </c>
      <c r="H34" s="52" t="s">
        <v>324</v>
      </c>
      <c r="I34" s="104" t="s">
        <v>18</v>
      </c>
      <c r="J34" s="104">
        <v>3</v>
      </c>
      <c r="K34" s="104"/>
      <c r="L34" s="105">
        <v>2200000</v>
      </c>
      <c r="M34" s="105">
        <v>2200000</v>
      </c>
      <c r="N34" s="105">
        <v>2200000</v>
      </c>
      <c r="O34" s="105">
        <v>500000</v>
      </c>
      <c r="P34" s="105">
        <v>530000</v>
      </c>
      <c r="Q34" s="105">
        <v>540000</v>
      </c>
      <c r="S34" s="106"/>
    </row>
    <row r="35" spans="1:19" s="107" customFormat="1" x14ac:dyDescent="0.25">
      <c r="A35" s="52" t="s">
        <v>356</v>
      </c>
      <c r="B35" s="52" t="s">
        <v>357</v>
      </c>
      <c r="C35" s="52" t="s">
        <v>358</v>
      </c>
      <c r="D35" s="52" t="s">
        <v>1723</v>
      </c>
      <c r="E35" s="52" t="s">
        <v>323</v>
      </c>
      <c r="F35" s="52" t="s">
        <v>295</v>
      </c>
      <c r="G35" s="52" t="s">
        <v>16</v>
      </c>
      <c r="H35" s="52" t="s">
        <v>324</v>
      </c>
      <c r="I35" s="104" t="s">
        <v>38</v>
      </c>
      <c r="J35" s="104">
        <v>3</v>
      </c>
      <c r="K35" s="104"/>
      <c r="L35" s="105">
        <v>300000</v>
      </c>
      <c r="M35" s="105">
        <v>300000</v>
      </c>
      <c r="N35" s="105">
        <v>300000</v>
      </c>
      <c r="O35" s="105">
        <v>300000</v>
      </c>
      <c r="P35" s="105">
        <v>310000</v>
      </c>
      <c r="Q35" s="105">
        <v>320000</v>
      </c>
      <c r="S35" s="106"/>
    </row>
    <row r="36" spans="1:19" s="107" customFormat="1" x14ac:dyDescent="0.25">
      <c r="A36" s="52" t="s">
        <v>359</v>
      </c>
      <c r="B36" s="52" t="s">
        <v>360</v>
      </c>
      <c r="C36" s="52" t="s">
        <v>358</v>
      </c>
      <c r="D36" s="52" t="s">
        <v>1640</v>
      </c>
      <c r="E36" s="52" t="s">
        <v>323</v>
      </c>
      <c r="F36" s="52" t="s">
        <v>295</v>
      </c>
      <c r="G36" s="52" t="s">
        <v>16</v>
      </c>
      <c r="H36" s="52" t="s">
        <v>324</v>
      </c>
      <c r="I36" s="104" t="s">
        <v>38</v>
      </c>
      <c r="J36" s="104">
        <v>3</v>
      </c>
      <c r="K36" s="104"/>
      <c r="L36" s="105">
        <v>800000</v>
      </c>
      <c r="M36" s="105">
        <v>800000</v>
      </c>
      <c r="N36" s="105">
        <v>800000</v>
      </c>
      <c r="O36" s="105">
        <v>1500000</v>
      </c>
      <c r="P36" s="105">
        <v>2000000</v>
      </c>
      <c r="Q36" s="105">
        <v>2200000</v>
      </c>
      <c r="S36" s="106"/>
    </row>
    <row r="37" spans="1:19" hidden="1" x14ac:dyDescent="0.25">
      <c r="A37" s="31" t="s">
        <v>352</v>
      </c>
      <c r="B37" s="31" t="s">
        <v>353</v>
      </c>
      <c r="C37" s="31" t="s">
        <v>354</v>
      </c>
      <c r="D37" s="31" t="s">
        <v>1721</v>
      </c>
      <c r="L37" s="34"/>
    </row>
    <row r="38" spans="1:19" x14ac:dyDescent="0.25">
      <c r="A38" s="31"/>
      <c r="B38" s="31"/>
      <c r="C38" s="31"/>
      <c r="E38" s="31"/>
      <c r="F38" s="31"/>
      <c r="G38" s="31"/>
      <c r="H38" s="31"/>
      <c r="I38" s="32"/>
      <c r="J38" s="32"/>
      <c r="K38" s="32"/>
    </row>
    <row r="39" spans="1:19" ht="15.75" thickBot="1" x14ac:dyDescent="0.3">
      <c r="A39" s="93" t="s">
        <v>1203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1">
        <f>SUM(L5:L38)</f>
        <v>14798312.5239744</v>
      </c>
      <c r="M39" s="91">
        <f t="shared" ref="M39:Q39" si="3">SUM(M5:M38)</f>
        <v>14999842.816400001</v>
      </c>
      <c r="N39" s="91">
        <f t="shared" si="3"/>
        <v>14999842.816400001</v>
      </c>
      <c r="O39" s="91">
        <f t="shared" si="3"/>
        <v>14785194.792905599</v>
      </c>
      <c r="P39" s="91">
        <f t="shared" si="3"/>
        <v>15944416.163793446</v>
      </c>
      <c r="Q39" s="91">
        <f t="shared" si="3"/>
        <v>17584915.291164152</v>
      </c>
    </row>
  </sheetData>
  <sortState xmlns:xlrd2="http://schemas.microsoft.com/office/spreadsheetml/2017/richdata2" ref="A2:Z34">
    <sortCondition ref="D2:D34"/>
  </sortState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S42"/>
  <sheetViews>
    <sheetView zoomScale="110" zoomScaleNormal="110" workbookViewId="0">
      <pane ySplit="4" topLeftCell="A16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35" bestFit="1" customWidth="1"/>
    <col min="2" max="3" width="9.125" style="35" hidden="1" customWidth="1"/>
    <col min="4" max="4" width="28" style="35" bestFit="1" customWidth="1"/>
    <col min="5" max="5" width="26.375" style="35" hidden="1" customWidth="1"/>
    <col min="6" max="11" width="9.125" style="35" hidden="1" customWidth="1"/>
    <col min="12" max="12" width="13.375" style="37" bestFit="1" customWidth="1"/>
    <col min="13" max="13" width="12.625" style="35" bestFit="1" customWidth="1"/>
    <col min="14" max="17" width="12.6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364</v>
      </c>
      <c r="B3" s="72"/>
      <c r="C3" s="72"/>
      <c r="D3" s="72"/>
    </row>
    <row r="4" spans="1:19" ht="69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2068</v>
      </c>
      <c r="B6" s="31" t="s">
        <v>290</v>
      </c>
      <c r="C6" s="31" t="s">
        <v>347</v>
      </c>
      <c r="D6" s="31" t="s">
        <v>366</v>
      </c>
      <c r="E6" s="31" t="s">
        <v>363</v>
      </c>
      <c r="F6" s="31" t="s">
        <v>292</v>
      </c>
      <c r="G6" s="31" t="s">
        <v>16</v>
      </c>
      <c r="H6" s="31" t="s">
        <v>364</v>
      </c>
      <c r="I6" s="32" t="s">
        <v>18</v>
      </c>
      <c r="J6" s="32">
        <v>3</v>
      </c>
      <c r="K6" s="32"/>
      <c r="L6" s="105">
        <v>7000000</v>
      </c>
      <c r="M6" s="105">
        <v>40000</v>
      </c>
      <c r="N6" s="105">
        <v>40000</v>
      </c>
      <c r="O6" s="105">
        <v>150000</v>
      </c>
      <c r="P6" s="105">
        <v>155000</v>
      </c>
      <c r="Q6" s="105">
        <v>160000</v>
      </c>
    </row>
    <row r="7" spans="1:19" x14ac:dyDescent="0.25">
      <c r="A7" s="71" t="s">
        <v>1950</v>
      </c>
      <c r="B7" s="31"/>
      <c r="C7" s="31"/>
      <c r="D7" s="31" t="s">
        <v>1814</v>
      </c>
      <c r="E7" s="31"/>
      <c r="F7" s="31"/>
      <c r="G7" s="31"/>
      <c r="H7" s="31"/>
      <c r="I7" s="32"/>
      <c r="J7" s="32"/>
      <c r="K7" s="32"/>
      <c r="L7" s="105">
        <f>24900000+16273000</f>
        <v>41173000</v>
      </c>
      <c r="M7" s="105">
        <v>8000000</v>
      </c>
      <c r="N7" s="105">
        <v>8000000</v>
      </c>
      <c r="O7" s="105">
        <v>8000000</v>
      </c>
      <c r="P7" s="105">
        <v>9000000</v>
      </c>
      <c r="Q7" s="105">
        <v>9000000</v>
      </c>
    </row>
    <row r="8" spans="1:19" x14ac:dyDescent="0.25">
      <c r="A8" s="31"/>
      <c r="B8" s="31"/>
      <c r="C8" s="31"/>
      <c r="D8" s="31"/>
      <c r="E8" s="31"/>
      <c r="F8" s="31"/>
      <c r="G8" s="31"/>
      <c r="H8" s="31"/>
      <c r="I8" s="32"/>
      <c r="J8" s="32"/>
      <c r="K8" s="32"/>
    </row>
    <row r="9" spans="1:19" x14ac:dyDescent="0.25">
      <c r="A9" s="95" t="s">
        <v>1609</v>
      </c>
      <c r="B9" s="95"/>
      <c r="C9" s="95"/>
      <c r="D9" s="95"/>
      <c r="E9" s="95"/>
      <c r="F9" s="95"/>
      <c r="G9" s="95"/>
      <c r="H9" s="95"/>
      <c r="L9" s="97">
        <f t="shared" ref="L9:Q9" si="0">SUM(L6:L7)</f>
        <v>48173000</v>
      </c>
      <c r="M9" s="97">
        <f t="shared" si="0"/>
        <v>8040000</v>
      </c>
      <c r="N9" s="97">
        <f t="shared" si="0"/>
        <v>8040000</v>
      </c>
      <c r="O9" s="97">
        <f t="shared" si="0"/>
        <v>8150000</v>
      </c>
      <c r="P9" s="97">
        <f t="shared" si="0"/>
        <v>9155000</v>
      </c>
      <c r="Q9" s="97">
        <f t="shared" si="0"/>
        <v>9160000</v>
      </c>
    </row>
    <row r="10" spans="1:19" x14ac:dyDescent="0.25">
      <c r="A10" s="31"/>
      <c r="B10" s="31"/>
      <c r="C10" s="31"/>
      <c r="D10" s="31"/>
      <c r="E10" s="31"/>
      <c r="F10" s="31"/>
      <c r="G10" s="31"/>
      <c r="H10" s="31"/>
      <c r="I10" s="32"/>
      <c r="J10" s="32"/>
      <c r="K10" s="32"/>
    </row>
    <row r="11" spans="1:19" x14ac:dyDescent="0.25">
      <c r="A11" s="31" t="s">
        <v>383</v>
      </c>
      <c r="B11" s="31" t="s">
        <v>11</v>
      </c>
      <c r="C11" s="31" t="s">
        <v>12</v>
      </c>
      <c r="D11" s="31" t="s">
        <v>157</v>
      </c>
      <c r="E11" s="31" t="s">
        <v>363</v>
      </c>
      <c r="F11" s="31" t="s">
        <v>15</v>
      </c>
      <c r="G11" s="31" t="s">
        <v>16</v>
      </c>
      <c r="H11" s="31" t="s">
        <v>364</v>
      </c>
      <c r="I11" s="32" t="s">
        <v>18</v>
      </c>
      <c r="J11" s="32">
        <v>3</v>
      </c>
      <c r="K11" s="32"/>
      <c r="L11" s="34">
        <v>7105365.2045999989</v>
      </c>
      <c r="M11" s="34">
        <v>5586148.6336700004</v>
      </c>
      <c r="N11" s="34">
        <v>5586148.6336700004</v>
      </c>
      <c r="O11" s="34">
        <f>S11</f>
        <v>7255013.4550799988</v>
      </c>
      <c r="P11" s="34">
        <f>O11*1.044</f>
        <v>7574234.0471035186</v>
      </c>
      <c r="Q11" s="34">
        <f>P11*1.045</f>
        <v>7915074.5792231765</v>
      </c>
      <c r="S11" s="145">
        <f>'[1]6107PROP'!$E$31</f>
        <v>7255013.4550799988</v>
      </c>
    </row>
    <row r="12" spans="1:19" hidden="1" x14ac:dyDescent="0.25">
      <c r="A12" s="31" t="s">
        <v>365</v>
      </c>
      <c r="B12" s="31" t="s">
        <v>11</v>
      </c>
      <c r="C12" s="31" t="s">
        <v>12</v>
      </c>
      <c r="D12" s="31" t="s">
        <v>86</v>
      </c>
      <c r="E12" s="31" t="s">
        <v>363</v>
      </c>
      <c r="F12" s="31" t="s">
        <v>37</v>
      </c>
      <c r="G12" s="31" t="s">
        <v>16</v>
      </c>
      <c r="H12" s="31" t="s">
        <v>364</v>
      </c>
      <c r="I12" s="32" t="s">
        <v>38</v>
      </c>
      <c r="J12" s="32">
        <v>1</v>
      </c>
      <c r="K12" s="32"/>
      <c r="L12" s="34"/>
      <c r="M12" s="34">
        <v>0</v>
      </c>
      <c r="N12" s="34">
        <v>0</v>
      </c>
      <c r="O12" s="34"/>
      <c r="P12" s="34"/>
      <c r="Q12" s="34"/>
      <c r="S12" s="145"/>
    </row>
    <row r="13" spans="1:19" hidden="1" x14ac:dyDescent="0.25">
      <c r="A13" s="31" t="s">
        <v>1813</v>
      </c>
      <c r="B13" s="31"/>
      <c r="C13" s="31"/>
      <c r="D13" s="31" t="s">
        <v>86</v>
      </c>
      <c r="E13" s="31"/>
      <c r="F13" s="31"/>
      <c r="G13" s="31"/>
      <c r="H13" s="31"/>
      <c r="I13" s="32"/>
      <c r="J13" s="32"/>
      <c r="K13" s="32"/>
      <c r="L13" s="34"/>
      <c r="M13" s="34">
        <v>0</v>
      </c>
      <c r="N13" s="34">
        <v>0</v>
      </c>
      <c r="O13" s="34"/>
      <c r="P13" s="34"/>
      <c r="Q13" s="34"/>
      <c r="S13" s="145"/>
    </row>
    <row r="14" spans="1:19" hidden="1" x14ac:dyDescent="0.25">
      <c r="A14" s="71" t="s">
        <v>371</v>
      </c>
      <c r="B14" s="31"/>
      <c r="C14" s="31"/>
      <c r="D14" s="31" t="s">
        <v>162</v>
      </c>
      <c r="E14" s="31"/>
      <c r="F14" s="31"/>
      <c r="G14" s="31"/>
      <c r="H14" s="31"/>
      <c r="I14" s="32"/>
      <c r="J14" s="32"/>
      <c r="K14" s="32"/>
      <c r="L14" s="34"/>
      <c r="M14" s="34">
        <v>0</v>
      </c>
      <c r="N14" s="34">
        <v>0</v>
      </c>
      <c r="O14" s="34"/>
      <c r="P14" s="34"/>
      <c r="Q14" s="34"/>
      <c r="S14" s="145"/>
    </row>
    <row r="15" spans="1:19" x14ac:dyDescent="0.25">
      <c r="A15" s="31" t="s">
        <v>377</v>
      </c>
      <c r="B15" s="31" t="s">
        <v>11</v>
      </c>
      <c r="C15" s="31" t="s">
        <v>12</v>
      </c>
      <c r="D15" s="31" t="s">
        <v>1630</v>
      </c>
      <c r="E15" s="31" t="s">
        <v>363</v>
      </c>
      <c r="F15" s="31" t="s">
        <v>15</v>
      </c>
      <c r="G15" s="31" t="s">
        <v>16</v>
      </c>
      <c r="H15" s="31" t="s">
        <v>364</v>
      </c>
      <c r="I15" s="32" t="s">
        <v>18</v>
      </c>
      <c r="J15" s="32">
        <v>3</v>
      </c>
      <c r="K15" s="32"/>
      <c r="L15" s="34">
        <v>200000</v>
      </c>
      <c r="M15" s="34">
        <v>220000</v>
      </c>
      <c r="N15" s="34">
        <v>220000</v>
      </c>
      <c r="O15" s="34">
        <v>200000</v>
      </c>
      <c r="P15" s="34">
        <v>220000</v>
      </c>
      <c r="Q15" s="34">
        <v>250000</v>
      </c>
      <c r="S15" s="145"/>
    </row>
    <row r="16" spans="1:19" x14ac:dyDescent="0.25">
      <c r="A16" s="31" t="s">
        <v>379</v>
      </c>
      <c r="B16" s="31" t="s">
        <v>11</v>
      </c>
      <c r="C16" s="31" t="s">
        <v>12</v>
      </c>
      <c r="D16" s="31" t="s">
        <v>153</v>
      </c>
      <c r="E16" s="31" t="s">
        <v>363</v>
      </c>
      <c r="F16" s="31" t="s">
        <v>15</v>
      </c>
      <c r="G16" s="31" t="s">
        <v>16</v>
      </c>
      <c r="H16" s="31" t="s">
        <v>364</v>
      </c>
      <c r="I16" s="32" t="s">
        <v>18</v>
      </c>
      <c r="J16" s="32">
        <v>3</v>
      </c>
      <c r="K16" s="32"/>
      <c r="L16" s="34">
        <v>592113.76705000002</v>
      </c>
      <c r="M16" s="34">
        <v>519963.06416000007</v>
      </c>
      <c r="N16" s="34">
        <v>519963.06416000007</v>
      </c>
      <c r="O16" s="34">
        <f>S16</f>
        <v>604584.45458999998</v>
      </c>
      <c r="P16" s="34">
        <f>O16*1.044</f>
        <v>631186.17059195996</v>
      </c>
      <c r="Q16" s="34">
        <f>P16*1.045</f>
        <v>659589.54826859816</v>
      </c>
      <c r="S16" s="145">
        <f>'[1]6107PROP'!$I$31</f>
        <v>604584.45458999998</v>
      </c>
    </row>
    <row r="17" spans="1:19" x14ac:dyDescent="0.25">
      <c r="A17" s="31" t="s">
        <v>380</v>
      </c>
      <c r="B17" s="31" t="s">
        <v>11</v>
      </c>
      <c r="C17" s="31" t="s">
        <v>12</v>
      </c>
      <c r="D17" s="31" t="s">
        <v>155</v>
      </c>
      <c r="E17" s="31" t="s">
        <v>363</v>
      </c>
      <c r="F17" s="31" t="s">
        <v>15</v>
      </c>
      <c r="G17" s="31" t="s">
        <v>16</v>
      </c>
      <c r="H17" s="31" t="s">
        <v>364</v>
      </c>
      <c r="I17" s="32" t="s">
        <v>18</v>
      </c>
      <c r="J17" s="32">
        <v>3</v>
      </c>
      <c r="K17" s="32"/>
      <c r="L17" s="34">
        <v>0</v>
      </c>
      <c r="M17" s="34">
        <v>0</v>
      </c>
      <c r="N17" s="34">
        <v>0</v>
      </c>
      <c r="O17" s="34">
        <f t="shared" ref="O17:O29" si="1">S17</f>
        <v>61087.759999999995</v>
      </c>
      <c r="P17" s="34">
        <f t="shared" ref="P17:P29" si="2">O17*1.044</f>
        <v>63775.621439999995</v>
      </c>
      <c r="Q17" s="34">
        <f t="shared" ref="Q17:Q29" si="3">P17*1.045</f>
        <v>66645.524404799988</v>
      </c>
      <c r="S17" s="145">
        <f>'[2]6107PROP'!$J$31</f>
        <v>61087.759999999995</v>
      </c>
    </row>
    <row r="18" spans="1:19" x14ac:dyDescent="0.25">
      <c r="A18" s="31" t="s">
        <v>375</v>
      </c>
      <c r="B18" s="31" t="s">
        <v>11</v>
      </c>
      <c r="C18" s="31" t="s">
        <v>12</v>
      </c>
      <c r="D18" s="31" t="s">
        <v>41</v>
      </c>
      <c r="E18" s="31" t="s">
        <v>363</v>
      </c>
      <c r="F18" s="31" t="s">
        <v>15</v>
      </c>
      <c r="G18" s="31" t="s">
        <v>16</v>
      </c>
      <c r="H18" s="31" t="s">
        <v>364</v>
      </c>
      <c r="I18" s="32" t="s">
        <v>18</v>
      </c>
      <c r="J18" s="32">
        <v>3</v>
      </c>
      <c r="K18" s="32"/>
      <c r="L18" s="34">
        <v>1563180.3450119998</v>
      </c>
      <c r="M18" s="34">
        <v>1128173.3669824</v>
      </c>
      <c r="N18" s="34">
        <v>1128173.3669824</v>
      </c>
      <c r="O18" s="34">
        <f t="shared" si="1"/>
        <v>1596102.9601176002</v>
      </c>
      <c r="P18" s="34">
        <f t="shared" si="2"/>
        <v>1666331.4903627746</v>
      </c>
      <c r="Q18" s="34">
        <f t="shared" si="3"/>
        <v>1741316.4074290993</v>
      </c>
      <c r="S18" s="145">
        <f>'[1]6107PROP'!$K$31</f>
        <v>1596102.9601176002</v>
      </c>
    </row>
    <row r="19" spans="1:19" x14ac:dyDescent="0.25">
      <c r="A19" s="31" t="s">
        <v>374</v>
      </c>
      <c r="B19" s="31" t="s">
        <v>11</v>
      </c>
      <c r="C19" s="31" t="s">
        <v>12</v>
      </c>
      <c r="D19" s="31" t="s">
        <v>36</v>
      </c>
      <c r="E19" s="31" t="s">
        <v>363</v>
      </c>
      <c r="F19" s="31" t="s">
        <v>15</v>
      </c>
      <c r="G19" s="31" t="s">
        <v>16</v>
      </c>
      <c r="H19" s="31" t="s">
        <v>364</v>
      </c>
      <c r="I19" s="32" t="s">
        <v>18</v>
      </c>
      <c r="J19" s="32">
        <v>3</v>
      </c>
      <c r="K19" s="32"/>
      <c r="L19" s="34">
        <v>278059.2</v>
      </c>
      <c r="M19" s="34">
        <v>241627.2</v>
      </c>
      <c r="N19" s="34">
        <v>241627.2</v>
      </c>
      <c r="O19" s="34">
        <f t="shared" si="1"/>
        <v>288055.2</v>
      </c>
      <c r="P19" s="34">
        <f t="shared" si="2"/>
        <v>300729.62880000001</v>
      </c>
      <c r="Q19" s="34">
        <f t="shared" si="3"/>
        <v>314262.46209599997</v>
      </c>
      <c r="S19" s="145">
        <f>'[1]6107PROP'!$L$31</f>
        <v>288055.2</v>
      </c>
    </row>
    <row r="20" spans="1:19" x14ac:dyDescent="0.25">
      <c r="A20" s="31" t="s">
        <v>382</v>
      </c>
      <c r="B20" s="31" t="s">
        <v>11</v>
      </c>
      <c r="C20" s="31" t="s">
        <v>12</v>
      </c>
      <c r="D20" s="31" t="s">
        <v>47</v>
      </c>
      <c r="E20" s="31" t="s">
        <v>363</v>
      </c>
      <c r="F20" s="31" t="s">
        <v>15</v>
      </c>
      <c r="G20" s="31" t="s">
        <v>16</v>
      </c>
      <c r="H20" s="31" t="s">
        <v>364</v>
      </c>
      <c r="I20" s="32" t="s">
        <v>18</v>
      </c>
      <c r="J20" s="32">
        <v>3</v>
      </c>
      <c r="K20" s="32"/>
      <c r="L20" s="34">
        <v>215737.68</v>
      </c>
      <c r="M20" s="34">
        <v>221400.75</v>
      </c>
      <c r="N20" s="34">
        <v>221400.75</v>
      </c>
      <c r="O20" s="34">
        <f t="shared" si="1"/>
        <v>234229.57355999999</v>
      </c>
      <c r="P20" s="34">
        <f t="shared" si="2"/>
        <v>244535.67479664</v>
      </c>
      <c r="Q20" s="34">
        <f t="shared" si="3"/>
        <v>255539.78016248878</v>
      </c>
      <c r="S20" s="145">
        <f>'[1]6107PROP'!$M$31</f>
        <v>234229.57355999999</v>
      </c>
    </row>
    <row r="21" spans="1:19" x14ac:dyDescent="0.25">
      <c r="A21" s="31" t="s">
        <v>370</v>
      </c>
      <c r="B21" s="31" t="s">
        <v>11</v>
      </c>
      <c r="C21" s="31" t="s">
        <v>12</v>
      </c>
      <c r="D21" s="31" t="s">
        <v>45</v>
      </c>
      <c r="E21" s="31" t="s">
        <v>363</v>
      </c>
      <c r="F21" s="31" t="s">
        <v>37</v>
      </c>
      <c r="G21" s="31" t="s">
        <v>16</v>
      </c>
      <c r="H21" s="31" t="s">
        <v>364</v>
      </c>
      <c r="I21" s="32" t="s">
        <v>38</v>
      </c>
      <c r="J21" s="32">
        <v>3</v>
      </c>
      <c r="K21" s="32"/>
      <c r="L21" s="34">
        <v>13578.72</v>
      </c>
      <c r="M21" s="34">
        <v>21318.989999999998</v>
      </c>
      <c r="N21" s="34">
        <v>21318.989999999998</v>
      </c>
      <c r="O21" s="34">
        <f t="shared" si="1"/>
        <v>22552.534919999998</v>
      </c>
      <c r="P21" s="34">
        <f t="shared" si="2"/>
        <v>23544.846456479998</v>
      </c>
      <c r="Q21" s="34">
        <f t="shared" si="3"/>
        <v>24604.364547021596</v>
      </c>
      <c r="S21" s="145">
        <f>'[1]6107PROP'!$N$31</f>
        <v>22552.534919999998</v>
      </c>
    </row>
    <row r="22" spans="1:19" x14ac:dyDescent="0.25">
      <c r="A22" s="31" t="s">
        <v>381</v>
      </c>
      <c r="B22" s="31" t="s">
        <v>11</v>
      </c>
      <c r="C22" s="31" t="s">
        <v>12</v>
      </c>
      <c r="D22" s="31" t="s">
        <v>156</v>
      </c>
      <c r="E22" s="31" t="s">
        <v>363</v>
      </c>
      <c r="F22" s="31" t="s">
        <v>15</v>
      </c>
      <c r="G22" s="31" t="s">
        <v>16</v>
      </c>
      <c r="H22" s="31" t="s">
        <v>364</v>
      </c>
      <c r="I22" s="32" t="s">
        <v>18</v>
      </c>
      <c r="J22" s="32">
        <v>3</v>
      </c>
      <c r="K22" s="32"/>
      <c r="L22" s="34">
        <v>10882.451879999999</v>
      </c>
      <c r="M22" s="34">
        <v>10374.119999999999</v>
      </c>
      <c r="N22" s="34">
        <v>10374.119999999999</v>
      </c>
      <c r="O22" s="34">
        <f t="shared" si="1"/>
        <v>10882.451879999999</v>
      </c>
      <c r="P22" s="34">
        <f t="shared" si="2"/>
        <v>11361.27976272</v>
      </c>
      <c r="Q22" s="34">
        <f t="shared" si="3"/>
        <v>11872.537352042398</v>
      </c>
      <c r="S22" s="145">
        <f>'[1]6107PROP'!$Q$31</f>
        <v>10882.451879999999</v>
      </c>
    </row>
    <row r="23" spans="1:19" x14ac:dyDescent="0.25">
      <c r="A23" s="31" t="s">
        <v>373</v>
      </c>
      <c r="B23" s="31" t="s">
        <v>11</v>
      </c>
      <c r="C23" s="31" t="s">
        <v>12</v>
      </c>
      <c r="D23" s="31" t="s">
        <v>151</v>
      </c>
      <c r="E23" s="31" t="s">
        <v>363</v>
      </c>
      <c r="F23" s="31" t="s">
        <v>15</v>
      </c>
      <c r="G23" s="31" t="s">
        <v>16</v>
      </c>
      <c r="H23" s="31" t="s">
        <v>364</v>
      </c>
      <c r="I23" s="32" t="s">
        <v>18</v>
      </c>
      <c r="J23" s="32">
        <v>3</v>
      </c>
      <c r="K23" s="32"/>
      <c r="L23" s="34">
        <v>3326.4000000000015</v>
      </c>
      <c r="M23" s="34">
        <v>2895.6999999999989</v>
      </c>
      <c r="N23" s="34">
        <v>2895.6999999999989</v>
      </c>
      <c r="O23" s="34">
        <f t="shared" si="1"/>
        <v>3337.1999999999985</v>
      </c>
      <c r="P23" s="34">
        <f t="shared" si="2"/>
        <v>3484.0367999999985</v>
      </c>
      <c r="Q23" s="34">
        <f t="shared" si="3"/>
        <v>3640.8184559999982</v>
      </c>
      <c r="S23" s="145">
        <f>'[1]6107PROP'!$S$31</f>
        <v>3337.1999999999985</v>
      </c>
    </row>
    <row r="24" spans="1:19" hidden="1" x14ac:dyDescent="0.25">
      <c r="A24" s="31" t="s">
        <v>378</v>
      </c>
      <c r="B24" s="31" t="s">
        <v>11</v>
      </c>
      <c r="C24" s="31" t="s">
        <v>12</v>
      </c>
      <c r="D24" s="31" t="s">
        <v>193</v>
      </c>
      <c r="E24" s="31" t="s">
        <v>363</v>
      </c>
      <c r="F24" s="31" t="s">
        <v>15</v>
      </c>
      <c r="G24" s="31" t="s">
        <v>16</v>
      </c>
      <c r="H24" s="31" t="s">
        <v>364</v>
      </c>
      <c r="I24" s="32" t="s">
        <v>18</v>
      </c>
      <c r="J24" s="32">
        <v>3</v>
      </c>
      <c r="K24" s="32"/>
      <c r="L24" s="34">
        <v>0</v>
      </c>
      <c r="M24" s="34">
        <v>0</v>
      </c>
      <c r="N24" s="34">
        <v>0</v>
      </c>
      <c r="O24" s="34">
        <f t="shared" si="1"/>
        <v>0</v>
      </c>
      <c r="P24" s="34">
        <f t="shared" si="2"/>
        <v>0</v>
      </c>
      <c r="Q24" s="34">
        <f t="shared" si="3"/>
        <v>0</v>
      </c>
      <c r="S24" s="145">
        <f>'[1]6107PROP'!$T$31</f>
        <v>0</v>
      </c>
    </row>
    <row r="25" spans="1:19" x14ac:dyDescent="0.25">
      <c r="A25" s="31" t="s">
        <v>376</v>
      </c>
      <c r="B25" s="31" t="s">
        <v>11</v>
      </c>
      <c r="C25" s="31" t="s">
        <v>12</v>
      </c>
      <c r="D25" s="31" t="s">
        <v>43</v>
      </c>
      <c r="E25" s="31" t="s">
        <v>363</v>
      </c>
      <c r="F25" s="31" t="s">
        <v>15</v>
      </c>
      <c r="G25" s="31" t="s">
        <v>16</v>
      </c>
      <c r="H25" s="31" t="s">
        <v>364</v>
      </c>
      <c r="I25" s="32" t="s">
        <v>18</v>
      </c>
      <c r="J25" s="32">
        <v>3</v>
      </c>
      <c r="K25" s="32"/>
      <c r="L25" s="34">
        <v>41755.613973600011</v>
      </c>
      <c r="M25" s="34">
        <v>46594.866181913603</v>
      </c>
      <c r="N25" s="34">
        <v>46594.866181913603</v>
      </c>
      <c r="O25" s="34">
        <f t="shared" si="1"/>
        <v>40409.510122800006</v>
      </c>
      <c r="P25" s="34">
        <f t="shared" si="2"/>
        <v>42187.528568203204</v>
      </c>
      <c r="Q25" s="34">
        <f t="shared" si="3"/>
        <v>44085.967353772343</v>
      </c>
      <c r="S25" s="145">
        <f>'[1]6107PROP'!$U$31</f>
        <v>40409.510122800006</v>
      </c>
    </row>
    <row r="26" spans="1:19" x14ac:dyDescent="0.25">
      <c r="A26" s="31" t="s">
        <v>371</v>
      </c>
      <c r="B26" s="31" t="s">
        <v>11</v>
      </c>
      <c r="C26" s="31" t="s">
        <v>12</v>
      </c>
      <c r="D26" s="31" t="s">
        <v>162</v>
      </c>
      <c r="E26" s="31" t="s">
        <v>363</v>
      </c>
      <c r="F26" s="31" t="s">
        <v>37</v>
      </c>
      <c r="G26" s="31" t="s">
        <v>16</v>
      </c>
      <c r="H26" s="31" t="s">
        <v>364</v>
      </c>
      <c r="I26" s="32" t="s">
        <v>38</v>
      </c>
      <c r="J26" s="32">
        <v>1</v>
      </c>
      <c r="K26" s="32"/>
      <c r="L26" s="34">
        <v>126011.77491456</v>
      </c>
      <c r="M26" s="34">
        <v>126011.77491456</v>
      </c>
      <c r="N26" s="34">
        <v>126011.77491456</v>
      </c>
      <c r="O26" s="34">
        <f t="shared" si="1"/>
        <v>96050.008531839994</v>
      </c>
      <c r="P26" s="34">
        <f t="shared" si="2"/>
        <v>100276.20890724096</v>
      </c>
      <c r="Q26" s="34">
        <f t="shared" si="3"/>
        <v>104788.63830806679</v>
      </c>
      <c r="S26" s="145">
        <f>'[1]6107PROP'!$F$31</f>
        <v>96050.008531839994</v>
      </c>
    </row>
    <row r="27" spans="1:19" x14ac:dyDescent="0.25">
      <c r="A27" s="31" t="s">
        <v>2195</v>
      </c>
      <c r="B27" s="31"/>
      <c r="C27" s="31"/>
      <c r="D27" s="31" t="s">
        <v>2174</v>
      </c>
      <c r="E27" s="31"/>
      <c r="F27" s="31"/>
      <c r="G27" s="31"/>
      <c r="H27" s="31"/>
      <c r="I27" s="131"/>
      <c r="J27" s="131"/>
      <c r="K27" s="131"/>
      <c r="L27" s="34">
        <v>0</v>
      </c>
      <c r="M27" s="34">
        <v>9000</v>
      </c>
      <c r="N27" s="34">
        <v>9000</v>
      </c>
      <c r="O27" s="34">
        <f t="shared" si="1"/>
        <v>18000</v>
      </c>
      <c r="P27" s="34">
        <f t="shared" si="2"/>
        <v>18792</v>
      </c>
      <c r="Q27" s="34">
        <f t="shared" si="3"/>
        <v>19637.64</v>
      </c>
      <c r="S27" s="145">
        <f>'[1]6107PROP'!$P$31</f>
        <v>18000</v>
      </c>
    </row>
    <row r="28" spans="1:19" x14ac:dyDescent="0.25">
      <c r="A28" s="31"/>
      <c r="B28" s="31"/>
      <c r="C28" s="31"/>
      <c r="D28" s="31"/>
      <c r="E28" s="31"/>
      <c r="F28" s="31"/>
      <c r="G28" s="31"/>
      <c r="H28" s="31"/>
      <c r="I28" s="32"/>
      <c r="J28" s="32"/>
      <c r="K28" s="32"/>
      <c r="L28" s="34"/>
      <c r="M28" s="34"/>
      <c r="N28" s="34"/>
      <c r="O28" s="34"/>
      <c r="P28" s="34"/>
      <c r="Q28" s="34"/>
      <c r="S28" s="145"/>
    </row>
    <row r="29" spans="1:19" x14ac:dyDescent="0.25">
      <c r="A29" s="31" t="s">
        <v>372</v>
      </c>
      <c r="B29" s="31" t="s">
        <v>11</v>
      </c>
      <c r="C29" s="31" t="s">
        <v>12</v>
      </c>
      <c r="D29" s="31" t="s">
        <v>30</v>
      </c>
      <c r="E29" s="31" t="s">
        <v>363</v>
      </c>
      <c r="F29" s="31" t="s">
        <v>15</v>
      </c>
      <c r="G29" s="31" t="s">
        <v>16</v>
      </c>
      <c r="H29" s="31" t="s">
        <v>364</v>
      </c>
      <c r="I29" s="32" t="s">
        <v>18</v>
      </c>
      <c r="J29" s="32">
        <v>3</v>
      </c>
      <c r="K29" s="32"/>
      <c r="L29" s="34">
        <v>71053.652045999974</v>
      </c>
      <c r="M29" s="34">
        <v>58036.19349920001</v>
      </c>
      <c r="N29" s="34">
        <v>58036.19349920001</v>
      </c>
      <c r="O29" s="34">
        <f t="shared" si="1"/>
        <v>72550.134550799994</v>
      </c>
      <c r="P29" s="34">
        <f t="shared" si="2"/>
        <v>75742.34047103519</v>
      </c>
      <c r="Q29" s="34">
        <f t="shared" si="3"/>
        <v>79150.74579223177</v>
      </c>
      <c r="S29" s="145">
        <f>'[1]6107PROP'!$R$31</f>
        <v>72550.134550799994</v>
      </c>
    </row>
    <row r="30" spans="1:19" x14ac:dyDescent="0.25">
      <c r="A30" s="31" t="s">
        <v>389</v>
      </c>
      <c r="B30" s="31" t="s">
        <v>11</v>
      </c>
      <c r="C30" s="31" t="s">
        <v>12</v>
      </c>
      <c r="D30" s="31" t="s">
        <v>20</v>
      </c>
      <c r="E30" s="31" t="s">
        <v>363</v>
      </c>
      <c r="F30" s="31" t="s">
        <v>15</v>
      </c>
      <c r="G30" s="31" t="s">
        <v>16</v>
      </c>
      <c r="H30" s="31" t="s">
        <v>364</v>
      </c>
      <c r="I30" s="32" t="s">
        <v>18</v>
      </c>
      <c r="J30" s="32">
        <v>3</v>
      </c>
      <c r="K30" s="32"/>
      <c r="L30" s="43">
        <v>3100</v>
      </c>
      <c r="M30" s="43">
        <v>3500</v>
      </c>
      <c r="N30" s="43">
        <v>3500</v>
      </c>
      <c r="O30" s="43">
        <v>8000</v>
      </c>
      <c r="P30" s="43">
        <v>9000</v>
      </c>
      <c r="Q30" s="43">
        <v>10000</v>
      </c>
    </row>
    <row r="31" spans="1:19" x14ac:dyDescent="0.25">
      <c r="A31" s="31" t="s">
        <v>390</v>
      </c>
      <c r="B31" s="31" t="s">
        <v>11</v>
      </c>
      <c r="C31" s="31" t="s">
        <v>12</v>
      </c>
      <c r="D31" s="31" t="s">
        <v>24</v>
      </c>
      <c r="E31" s="31" t="s">
        <v>363</v>
      </c>
      <c r="F31" s="31" t="s">
        <v>15</v>
      </c>
      <c r="G31" s="31" t="s">
        <v>16</v>
      </c>
      <c r="H31" s="31" t="s">
        <v>364</v>
      </c>
      <c r="I31" s="32" t="s">
        <v>18</v>
      </c>
      <c r="J31" s="32">
        <v>3</v>
      </c>
      <c r="K31" s="32"/>
      <c r="L31" s="43">
        <v>4000</v>
      </c>
      <c r="M31" s="43">
        <v>4000</v>
      </c>
      <c r="N31" s="43">
        <v>4000</v>
      </c>
      <c r="O31" s="43">
        <v>8000</v>
      </c>
      <c r="P31" s="43">
        <v>10000</v>
      </c>
      <c r="Q31" s="43">
        <v>11000</v>
      </c>
    </row>
    <row r="32" spans="1:19" x14ac:dyDescent="0.25">
      <c r="A32" s="31" t="s">
        <v>388</v>
      </c>
      <c r="B32" s="31" t="s">
        <v>11</v>
      </c>
      <c r="C32" s="31" t="s">
        <v>12</v>
      </c>
      <c r="D32" s="31" t="s">
        <v>28</v>
      </c>
      <c r="E32" s="31" t="s">
        <v>363</v>
      </c>
      <c r="F32" s="31" t="s">
        <v>15</v>
      </c>
      <c r="G32" s="31" t="s">
        <v>16</v>
      </c>
      <c r="H32" s="31" t="s">
        <v>364</v>
      </c>
      <c r="I32" s="32" t="s">
        <v>18</v>
      </c>
      <c r="J32" s="32">
        <v>3</v>
      </c>
      <c r="K32" s="32"/>
      <c r="L32" s="43">
        <v>15000</v>
      </c>
      <c r="M32" s="43">
        <v>10000</v>
      </c>
      <c r="N32" s="43">
        <v>10000</v>
      </c>
      <c r="O32" s="43">
        <v>11000</v>
      </c>
      <c r="P32" s="43">
        <v>12000</v>
      </c>
      <c r="Q32" s="43">
        <v>13000</v>
      </c>
    </row>
    <row r="33" spans="1:17" x14ac:dyDescent="0.25">
      <c r="A33" s="31" t="s">
        <v>386</v>
      </c>
      <c r="B33" s="31" t="s">
        <v>11</v>
      </c>
      <c r="C33" s="31" t="s">
        <v>12</v>
      </c>
      <c r="D33" s="31" t="s">
        <v>13</v>
      </c>
      <c r="E33" s="31" t="s">
        <v>363</v>
      </c>
      <c r="F33" s="31" t="s">
        <v>15</v>
      </c>
      <c r="G33" s="31" t="s">
        <v>16</v>
      </c>
      <c r="H33" s="31" t="s">
        <v>364</v>
      </c>
      <c r="I33" s="32" t="s">
        <v>18</v>
      </c>
      <c r="J33" s="32">
        <v>3</v>
      </c>
      <c r="K33" s="32"/>
      <c r="L33" s="43">
        <v>20000</v>
      </c>
      <c r="M33" s="43">
        <v>60000</v>
      </c>
      <c r="N33" s="43">
        <v>60000</v>
      </c>
      <c r="O33" s="43">
        <v>65000</v>
      </c>
      <c r="P33" s="43">
        <v>70000</v>
      </c>
      <c r="Q33" s="43">
        <v>75000</v>
      </c>
    </row>
    <row r="34" spans="1:17" hidden="1" x14ac:dyDescent="0.25">
      <c r="A34" s="31" t="s">
        <v>385</v>
      </c>
      <c r="B34" s="31" t="s">
        <v>11</v>
      </c>
      <c r="C34" s="31" t="s">
        <v>12</v>
      </c>
      <c r="D34" s="31" t="s">
        <v>32</v>
      </c>
      <c r="E34" s="31" t="s">
        <v>363</v>
      </c>
      <c r="F34" s="31" t="s">
        <v>15</v>
      </c>
      <c r="G34" s="31" t="s">
        <v>16</v>
      </c>
      <c r="H34" s="31" t="s">
        <v>364</v>
      </c>
      <c r="I34" s="32" t="s">
        <v>18</v>
      </c>
      <c r="J34" s="32">
        <v>3</v>
      </c>
      <c r="K34" s="32"/>
      <c r="L34" s="34">
        <v>0</v>
      </c>
      <c r="M34" s="34">
        <v>0</v>
      </c>
      <c r="N34" s="34">
        <v>0</v>
      </c>
      <c r="O34" s="34"/>
      <c r="P34" s="34"/>
      <c r="Q34" s="34"/>
    </row>
    <row r="35" spans="1:17" hidden="1" x14ac:dyDescent="0.25">
      <c r="A35" s="31" t="s">
        <v>384</v>
      </c>
      <c r="B35" s="31" t="s">
        <v>11</v>
      </c>
      <c r="C35" s="31" t="s">
        <v>12</v>
      </c>
      <c r="D35" s="31" t="s">
        <v>26</v>
      </c>
      <c r="E35" s="31" t="s">
        <v>363</v>
      </c>
      <c r="F35" s="31" t="s">
        <v>15</v>
      </c>
      <c r="G35" s="31" t="s">
        <v>16</v>
      </c>
      <c r="H35" s="31" t="s">
        <v>364</v>
      </c>
      <c r="I35" s="32" t="s">
        <v>18</v>
      </c>
      <c r="J35" s="32">
        <v>3</v>
      </c>
      <c r="K35" s="32"/>
      <c r="L35" s="34">
        <v>0</v>
      </c>
      <c r="M35" s="34">
        <v>0</v>
      </c>
      <c r="N35" s="34">
        <v>0</v>
      </c>
      <c r="O35" s="34"/>
      <c r="P35" s="34"/>
      <c r="Q35" s="34"/>
    </row>
    <row r="36" spans="1:17" x14ac:dyDescent="0.25">
      <c r="A36" s="31" t="s">
        <v>387</v>
      </c>
      <c r="B36" s="31" t="s">
        <v>11</v>
      </c>
      <c r="C36" s="31" t="s">
        <v>12</v>
      </c>
      <c r="D36" s="31" t="s">
        <v>22</v>
      </c>
      <c r="E36" s="31" t="s">
        <v>363</v>
      </c>
      <c r="F36" s="31" t="s">
        <v>15</v>
      </c>
      <c r="G36" s="31" t="s">
        <v>16</v>
      </c>
      <c r="H36" s="31" t="s">
        <v>364</v>
      </c>
      <c r="I36" s="32" t="s">
        <v>18</v>
      </c>
      <c r="J36" s="32">
        <v>3</v>
      </c>
      <c r="K36" s="32"/>
      <c r="L36" s="43">
        <v>2500</v>
      </c>
      <c r="M36" s="43">
        <v>25000</v>
      </c>
      <c r="N36" s="43">
        <v>25000</v>
      </c>
      <c r="O36" s="43">
        <v>20000</v>
      </c>
      <c r="P36" s="43">
        <v>22000</v>
      </c>
      <c r="Q36" s="43">
        <v>23000</v>
      </c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2"/>
      <c r="J37" s="32"/>
      <c r="K37" s="32"/>
    </row>
    <row r="38" spans="1:17" x14ac:dyDescent="0.25">
      <c r="A38" s="31" t="s">
        <v>391</v>
      </c>
      <c r="B38" s="31" t="s">
        <v>367</v>
      </c>
      <c r="C38" s="31" t="s">
        <v>12</v>
      </c>
      <c r="D38" s="31" t="s">
        <v>150</v>
      </c>
      <c r="E38" s="31" t="s">
        <v>363</v>
      </c>
      <c r="F38" s="31" t="s">
        <v>15</v>
      </c>
      <c r="G38" s="31" t="s">
        <v>16</v>
      </c>
      <c r="H38" s="31" t="s">
        <v>364</v>
      </c>
      <c r="I38" s="32" t="s">
        <v>18</v>
      </c>
      <c r="J38" s="32">
        <v>3</v>
      </c>
      <c r="K38" s="32"/>
      <c r="L38" s="43">
        <v>1000000</v>
      </c>
      <c r="M38" s="43">
        <v>1000000</v>
      </c>
      <c r="N38" s="43">
        <v>1000000</v>
      </c>
      <c r="O38" s="43">
        <v>1500000</v>
      </c>
      <c r="P38" s="43">
        <v>1650000</v>
      </c>
      <c r="Q38" s="43">
        <v>1800000</v>
      </c>
    </row>
    <row r="39" spans="1:17" hidden="1" x14ac:dyDescent="0.25">
      <c r="A39" s="31" t="s">
        <v>368</v>
      </c>
      <c r="B39" s="31" t="s">
        <v>369</v>
      </c>
      <c r="C39" s="31" t="s">
        <v>347</v>
      </c>
      <c r="D39" s="31" t="s">
        <v>150</v>
      </c>
      <c r="E39" s="31" t="s">
        <v>363</v>
      </c>
      <c r="F39" s="31" t="s">
        <v>37</v>
      </c>
      <c r="G39" s="31" t="s">
        <v>16</v>
      </c>
      <c r="H39" s="31" t="s">
        <v>364</v>
      </c>
      <c r="I39" s="32" t="s">
        <v>38</v>
      </c>
      <c r="J39" s="32">
        <v>1</v>
      </c>
      <c r="K39" s="32"/>
      <c r="L39" s="43"/>
      <c r="M39" s="43"/>
      <c r="N39" s="43"/>
      <c r="O39" s="43"/>
      <c r="P39" s="43"/>
      <c r="Q39" s="43"/>
    </row>
    <row r="40" spans="1:17" x14ac:dyDescent="0.25">
      <c r="A40" s="50" t="s">
        <v>2038</v>
      </c>
      <c r="B40" s="31"/>
      <c r="C40" s="31"/>
      <c r="D40" s="31" t="s">
        <v>1697</v>
      </c>
      <c r="E40" s="31"/>
      <c r="F40" s="31"/>
      <c r="G40" s="31"/>
      <c r="H40" s="31"/>
      <c r="I40" s="32"/>
      <c r="J40" s="32"/>
      <c r="K40" s="32"/>
      <c r="L40" s="43">
        <v>2000000</v>
      </c>
      <c r="M40" s="43">
        <v>1000000</v>
      </c>
      <c r="N40" s="43">
        <v>1000000</v>
      </c>
      <c r="O40" s="43">
        <f>2500000-282000-218000</f>
        <v>2000000</v>
      </c>
      <c r="P40" s="43">
        <v>2200000</v>
      </c>
      <c r="Q40" s="43">
        <v>2700000</v>
      </c>
    </row>
    <row r="42" spans="1:17" ht="15.75" thickBot="1" x14ac:dyDescent="0.3">
      <c r="A42" s="93" t="s">
        <v>1203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1">
        <f t="shared" ref="L42:Q42" si="4">SUM(L11:L41)</f>
        <v>13265664.809476161</v>
      </c>
      <c r="M42" s="91">
        <f t="shared" si="4"/>
        <v>10294044.659408076</v>
      </c>
      <c r="N42" s="91">
        <f t="shared" si="4"/>
        <v>10294044.659408076</v>
      </c>
      <c r="O42" s="91">
        <f t="shared" si="4"/>
        <v>14114855.243353039</v>
      </c>
      <c r="P42" s="91">
        <f t="shared" si="4"/>
        <v>14949180.874060573</v>
      </c>
      <c r="Q42" s="91">
        <f t="shared" si="4"/>
        <v>16122209.013393298</v>
      </c>
    </row>
  </sheetData>
  <sortState xmlns:xlrd2="http://schemas.microsoft.com/office/spreadsheetml/2017/richdata2" ref="A2:Z26">
    <sortCondition ref="D2:D26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S35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35" customWidth="1"/>
    <col min="2" max="3" width="0" style="35" hidden="1" customWidth="1"/>
    <col min="4" max="4" width="30" style="35" bestFit="1" customWidth="1"/>
    <col min="5" max="11" width="9.125" style="35" hidden="1" customWidth="1"/>
    <col min="12" max="12" width="12.75" style="37" bestFit="1" customWidth="1"/>
    <col min="13" max="13" width="12.625" style="35" bestFit="1" customWidth="1"/>
    <col min="14" max="17" width="12.625" style="171" customWidth="1"/>
    <col min="18" max="18" width="16.5" style="35" customWidth="1"/>
    <col min="19" max="19" width="11.1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98" t="s">
        <v>250</v>
      </c>
      <c r="B3" s="72"/>
      <c r="C3" s="72"/>
      <c r="D3" s="72"/>
    </row>
    <row r="4" spans="1:19" ht="68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6" spans="1:19" x14ac:dyDescent="0.25">
      <c r="A6" s="31" t="s">
        <v>418</v>
      </c>
      <c r="B6" s="31" t="s">
        <v>11</v>
      </c>
      <c r="C6" s="31" t="s">
        <v>12</v>
      </c>
      <c r="D6" s="31" t="s">
        <v>157</v>
      </c>
      <c r="E6" s="31" t="s">
        <v>393</v>
      </c>
      <c r="F6" s="31" t="s">
        <v>15</v>
      </c>
      <c r="G6" s="31" t="s">
        <v>16</v>
      </c>
      <c r="H6" s="31" t="s">
        <v>250</v>
      </c>
      <c r="I6" s="32" t="s">
        <v>18</v>
      </c>
      <c r="J6" s="32">
        <v>3</v>
      </c>
      <c r="K6" s="32"/>
      <c r="L6" s="34">
        <v>588857.07311999996</v>
      </c>
      <c r="M6" s="34">
        <v>1171692.19</v>
      </c>
      <c r="N6" s="34">
        <v>1171692.19</v>
      </c>
      <c r="O6" s="34">
        <f>S6</f>
        <v>624779.32283999992</v>
      </c>
      <c r="P6" s="34">
        <f>O6*1.044</f>
        <v>652269.61304495996</v>
      </c>
      <c r="Q6" s="34">
        <f>P6*1.045</f>
        <v>681621.74563198315</v>
      </c>
      <c r="S6" s="145">
        <f>'[1]6108LEGAL'!$E$5</f>
        <v>624779.32283999992</v>
      </c>
    </row>
    <row r="7" spans="1:19" hidden="1" x14ac:dyDescent="0.25">
      <c r="A7" s="31" t="s">
        <v>396</v>
      </c>
      <c r="B7" s="31" t="s">
        <v>11</v>
      </c>
      <c r="C7" s="31" t="s">
        <v>12</v>
      </c>
      <c r="D7" s="31" t="s">
        <v>86</v>
      </c>
      <c r="E7" s="31" t="s">
        <v>393</v>
      </c>
      <c r="F7" s="31" t="s">
        <v>37</v>
      </c>
      <c r="G7" s="31" t="s">
        <v>16</v>
      </c>
      <c r="H7" s="31" t="s">
        <v>250</v>
      </c>
      <c r="I7" s="32" t="s">
        <v>38</v>
      </c>
      <c r="J7" s="32">
        <v>1</v>
      </c>
      <c r="K7" s="32"/>
      <c r="L7" s="34">
        <v>0</v>
      </c>
      <c r="M7" s="34">
        <v>0</v>
      </c>
      <c r="N7" s="34">
        <v>0</v>
      </c>
      <c r="O7" s="34">
        <f t="shared" ref="O7:O20" si="0">S7</f>
        <v>0</v>
      </c>
      <c r="P7" s="34">
        <f t="shared" ref="P7:P20" si="1">O7*1.044</f>
        <v>0</v>
      </c>
      <c r="Q7" s="34">
        <f t="shared" ref="Q7:Q20" si="2">P7*1.045</f>
        <v>0</v>
      </c>
      <c r="S7" s="145"/>
    </row>
    <row r="8" spans="1:19" hidden="1" x14ac:dyDescent="0.25">
      <c r="A8" s="71" t="s">
        <v>1951</v>
      </c>
      <c r="B8" s="31"/>
      <c r="C8" s="31"/>
      <c r="D8" s="31" t="s">
        <v>162</v>
      </c>
      <c r="E8" s="31"/>
      <c r="F8" s="31"/>
      <c r="G8" s="31"/>
      <c r="H8" s="31"/>
      <c r="I8" s="32"/>
      <c r="J8" s="32"/>
      <c r="K8" s="32"/>
      <c r="L8" s="34">
        <v>0</v>
      </c>
      <c r="M8" s="34">
        <v>0</v>
      </c>
      <c r="N8" s="34">
        <v>0</v>
      </c>
      <c r="O8" s="34">
        <f t="shared" si="0"/>
        <v>0</v>
      </c>
      <c r="P8" s="34">
        <f t="shared" si="1"/>
        <v>0</v>
      </c>
      <c r="Q8" s="34">
        <f t="shared" si="2"/>
        <v>0</v>
      </c>
      <c r="S8" s="145"/>
    </row>
    <row r="9" spans="1:19" x14ac:dyDescent="0.25">
      <c r="A9" s="31" t="s">
        <v>397</v>
      </c>
      <c r="B9" s="31" t="s">
        <v>11</v>
      </c>
      <c r="C9" s="31" t="s">
        <v>12</v>
      </c>
      <c r="D9" s="31" t="s">
        <v>153</v>
      </c>
      <c r="E9" s="31" t="s">
        <v>393</v>
      </c>
      <c r="F9" s="31" t="s">
        <v>15</v>
      </c>
      <c r="G9" s="31" t="s">
        <v>16</v>
      </c>
      <c r="H9" s="31" t="s">
        <v>250</v>
      </c>
      <c r="I9" s="32" t="s">
        <v>18</v>
      </c>
      <c r="J9" s="32">
        <v>3</v>
      </c>
      <c r="K9" s="32"/>
      <c r="L9" s="34">
        <v>98142.845519999988</v>
      </c>
      <c r="M9" s="34">
        <v>49632.93</v>
      </c>
      <c r="N9" s="34">
        <v>49632.93</v>
      </c>
      <c r="O9" s="34">
        <f t="shared" si="0"/>
        <v>52064.943569999996</v>
      </c>
      <c r="P9" s="34">
        <f t="shared" si="1"/>
        <v>54355.801087079999</v>
      </c>
      <c r="Q9" s="34">
        <f t="shared" si="2"/>
        <v>56801.812135998596</v>
      </c>
      <c r="S9" s="145">
        <f>'[1]6108LEGAL'!$I$5</f>
        <v>52064.943569999996</v>
      </c>
    </row>
    <row r="10" spans="1:19" hidden="1" x14ac:dyDescent="0.25">
      <c r="A10" s="31" t="s">
        <v>398</v>
      </c>
      <c r="B10" s="31" t="s">
        <v>11</v>
      </c>
      <c r="C10" s="31" t="s">
        <v>12</v>
      </c>
      <c r="D10" s="31" t="s">
        <v>155</v>
      </c>
      <c r="E10" s="31" t="s">
        <v>393</v>
      </c>
      <c r="F10" s="31" t="s">
        <v>37</v>
      </c>
      <c r="G10" s="31" t="s">
        <v>16</v>
      </c>
      <c r="H10" s="31" t="s">
        <v>250</v>
      </c>
      <c r="I10" s="32" t="s">
        <v>38</v>
      </c>
      <c r="J10" s="32">
        <v>1</v>
      </c>
      <c r="K10" s="32"/>
      <c r="L10" s="34">
        <v>0</v>
      </c>
      <c r="M10" s="34">
        <v>0</v>
      </c>
      <c r="N10" s="34">
        <v>0</v>
      </c>
      <c r="O10" s="34">
        <f t="shared" si="0"/>
        <v>0</v>
      </c>
      <c r="P10" s="34">
        <f t="shared" si="1"/>
        <v>0</v>
      </c>
      <c r="Q10" s="34">
        <f t="shared" si="2"/>
        <v>0</v>
      </c>
      <c r="S10" s="145"/>
    </row>
    <row r="11" spans="1:19" x14ac:dyDescent="0.25">
      <c r="A11" s="31" t="s">
        <v>417</v>
      </c>
      <c r="B11" s="31" t="s">
        <v>11</v>
      </c>
      <c r="C11" s="31" t="s">
        <v>12</v>
      </c>
      <c r="D11" s="31" t="s">
        <v>41</v>
      </c>
      <c r="E11" s="31" t="s">
        <v>393</v>
      </c>
      <c r="F11" s="31" t="s">
        <v>15</v>
      </c>
      <c r="G11" s="31" t="s">
        <v>16</v>
      </c>
      <c r="H11" s="31" t="s">
        <v>250</v>
      </c>
      <c r="I11" s="32" t="s">
        <v>18</v>
      </c>
      <c r="J11" s="32">
        <v>3</v>
      </c>
      <c r="K11" s="32"/>
      <c r="L11" s="34">
        <v>129548.55608639999</v>
      </c>
      <c r="M11" s="34">
        <v>239142.44760000001</v>
      </c>
      <c r="N11" s="34">
        <v>239142.44760000001</v>
      </c>
      <c r="O11" s="34">
        <f t="shared" si="0"/>
        <v>137451.45102479999</v>
      </c>
      <c r="P11" s="34">
        <f t="shared" si="1"/>
        <v>143499.31486989118</v>
      </c>
      <c r="Q11" s="34">
        <f t="shared" si="2"/>
        <v>149956.78403903628</v>
      </c>
      <c r="S11" s="145">
        <f>'[1]6108LEGAL'!$K$5</f>
        <v>137451.45102479999</v>
      </c>
    </row>
    <row r="12" spans="1:19" x14ac:dyDescent="0.25">
      <c r="A12" s="31" t="s">
        <v>416</v>
      </c>
      <c r="B12" s="31" t="s">
        <v>11</v>
      </c>
      <c r="C12" s="31" t="s">
        <v>12</v>
      </c>
      <c r="D12" s="31" t="s">
        <v>36</v>
      </c>
      <c r="E12" s="31" t="s">
        <v>393</v>
      </c>
      <c r="F12" s="31" t="s">
        <v>15</v>
      </c>
      <c r="G12" s="31" t="s">
        <v>16</v>
      </c>
      <c r="H12" s="31" t="s">
        <v>250</v>
      </c>
      <c r="I12" s="32" t="s">
        <v>18</v>
      </c>
      <c r="J12" s="32">
        <v>3</v>
      </c>
      <c r="K12" s="32"/>
      <c r="L12" s="34">
        <v>57277.440000000002</v>
      </c>
      <c r="M12" s="34">
        <v>105202.44</v>
      </c>
      <c r="N12" s="34">
        <v>105202.44</v>
      </c>
      <c r="O12" s="34">
        <f t="shared" si="0"/>
        <v>57277.440000000002</v>
      </c>
      <c r="P12" s="34">
        <f t="shared" si="1"/>
        <v>59797.647360000003</v>
      </c>
      <c r="Q12" s="34">
        <f t="shared" si="2"/>
        <v>62488.541491199998</v>
      </c>
      <c r="S12" s="145">
        <f>'[1]6108LEGAL'!$L$5</f>
        <v>57277.440000000002</v>
      </c>
    </row>
    <row r="13" spans="1:19" x14ac:dyDescent="0.25">
      <c r="A13" s="31" t="s">
        <v>400</v>
      </c>
      <c r="B13" s="31" t="s">
        <v>11</v>
      </c>
      <c r="C13" s="31" t="s">
        <v>12</v>
      </c>
      <c r="D13" s="31" t="s">
        <v>47</v>
      </c>
      <c r="E13" s="31" t="s">
        <v>393</v>
      </c>
      <c r="F13" s="31" t="s">
        <v>15</v>
      </c>
      <c r="G13" s="31" t="s">
        <v>16</v>
      </c>
      <c r="H13" s="31" t="s">
        <v>250</v>
      </c>
      <c r="I13" s="32" t="s">
        <v>18</v>
      </c>
      <c r="J13" s="32">
        <v>3</v>
      </c>
      <c r="K13" s="32"/>
      <c r="L13" s="34">
        <v>216845.64</v>
      </c>
      <c r="M13" s="34">
        <v>494006.83999999997</v>
      </c>
      <c r="N13" s="34">
        <v>494006.83999999997</v>
      </c>
      <c r="O13" s="34">
        <f t="shared" si="0"/>
        <v>235432.60871999996</v>
      </c>
      <c r="P13" s="34">
        <f t="shared" si="1"/>
        <v>245791.64350367998</v>
      </c>
      <c r="Q13" s="34">
        <f t="shared" si="2"/>
        <v>256852.26746134556</v>
      </c>
      <c r="S13" s="145">
        <f>'[1]6108LEGAL'!$M$5</f>
        <v>235432.60871999996</v>
      </c>
    </row>
    <row r="14" spans="1:19" x14ac:dyDescent="0.25">
      <c r="A14" s="31" t="s">
        <v>415</v>
      </c>
      <c r="B14" s="31" t="s">
        <v>11</v>
      </c>
      <c r="C14" s="31" t="s">
        <v>12</v>
      </c>
      <c r="D14" s="31" t="s">
        <v>45</v>
      </c>
      <c r="E14" s="31" t="s">
        <v>393</v>
      </c>
      <c r="F14" s="31" t="s">
        <v>37</v>
      </c>
      <c r="G14" s="31" t="s">
        <v>16</v>
      </c>
      <c r="H14" s="31" t="s">
        <v>250</v>
      </c>
      <c r="I14" s="32" t="s">
        <v>38</v>
      </c>
      <c r="J14" s="32">
        <v>3</v>
      </c>
      <c r="K14" s="32"/>
      <c r="L14" s="34">
        <v>13578.72</v>
      </c>
      <c r="M14" s="34">
        <v>27446.190000000002</v>
      </c>
      <c r="N14" s="34">
        <v>27446.190000000002</v>
      </c>
      <c r="O14" s="34">
        <f t="shared" si="0"/>
        <v>14735.386919999997</v>
      </c>
      <c r="P14" s="34">
        <f t="shared" si="1"/>
        <v>15383.743944479998</v>
      </c>
      <c r="Q14" s="34">
        <f t="shared" si="2"/>
        <v>16076.012421981597</v>
      </c>
      <c r="S14" s="145">
        <f>'[1]6108LEGAL'!$N$5</f>
        <v>14735.386919999997</v>
      </c>
    </row>
    <row r="15" spans="1:19" hidden="1" x14ac:dyDescent="0.25">
      <c r="A15" s="31" t="s">
        <v>399</v>
      </c>
      <c r="B15" s="31" t="s">
        <v>11</v>
      </c>
      <c r="C15" s="31" t="s">
        <v>12</v>
      </c>
      <c r="D15" s="31" t="s">
        <v>156</v>
      </c>
      <c r="E15" s="31" t="s">
        <v>393</v>
      </c>
      <c r="F15" s="31" t="s">
        <v>37</v>
      </c>
      <c r="G15" s="31" t="s">
        <v>16</v>
      </c>
      <c r="H15" s="31" t="s">
        <v>250</v>
      </c>
      <c r="I15" s="32" t="s">
        <v>38</v>
      </c>
      <c r="J15" s="32">
        <v>1</v>
      </c>
      <c r="K15" s="32"/>
      <c r="L15" s="34">
        <v>0</v>
      </c>
      <c r="M15" s="34">
        <v>0</v>
      </c>
      <c r="N15" s="34">
        <v>0</v>
      </c>
      <c r="O15" s="34">
        <f t="shared" si="0"/>
        <v>0</v>
      </c>
      <c r="P15" s="34">
        <f t="shared" si="1"/>
        <v>0</v>
      </c>
      <c r="Q15" s="34">
        <f t="shared" si="2"/>
        <v>0</v>
      </c>
      <c r="S15" s="145"/>
    </row>
    <row r="16" spans="1:19" x14ac:dyDescent="0.25">
      <c r="A16" s="71" t="s">
        <v>399</v>
      </c>
      <c r="B16" s="31"/>
      <c r="C16" s="31"/>
      <c r="D16" s="31" t="s">
        <v>156</v>
      </c>
      <c r="E16" s="31"/>
      <c r="F16" s="31"/>
      <c r="G16" s="31"/>
      <c r="H16" s="31"/>
      <c r="I16" s="32"/>
      <c r="J16" s="32"/>
      <c r="K16" s="32"/>
      <c r="L16" s="34">
        <v>0</v>
      </c>
      <c r="M16" s="34">
        <v>5787.06</v>
      </c>
      <c r="N16" s="34">
        <v>5787.06</v>
      </c>
      <c r="O16" s="34">
        <f t="shared" si="0"/>
        <v>0</v>
      </c>
      <c r="P16" s="34">
        <f t="shared" si="1"/>
        <v>0</v>
      </c>
      <c r="Q16" s="34">
        <f t="shared" si="2"/>
        <v>0</v>
      </c>
      <c r="S16" s="145">
        <f>'[1]6108LEGAL'!$P$5</f>
        <v>0</v>
      </c>
    </row>
    <row r="17" spans="1:19" x14ac:dyDescent="0.25">
      <c r="A17" s="31" t="s">
        <v>394</v>
      </c>
      <c r="B17" s="31" t="s">
        <v>11</v>
      </c>
      <c r="C17" s="31" t="s">
        <v>12</v>
      </c>
      <c r="D17" s="31" t="s">
        <v>151</v>
      </c>
      <c r="E17" s="31" t="s">
        <v>393</v>
      </c>
      <c r="F17" s="31" t="s">
        <v>15</v>
      </c>
      <c r="G17" s="31" t="s">
        <v>16</v>
      </c>
      <c r="H17" s="31" t="s">
        <v>250</v>
      </c>
      <c r="I17" s="32" t="s">
        <v>18</v>
      </c>
      <c r="J17" s="32">
        <v>3</v>
      </c>
      <c r="K17" s="32"/>
      <c r="L17" s="34">
        <v>118.80000000000001</v>
      </c>
      <c r="M17" s="34">
        <v>309</v>
      </c>
      <c r="N17" s="34">
        <v>309</v>
      </c>
      <c r="O17" s="34">
        <f t="shared" si="0"/>
        <v>123.60000000000001</v>
      </c>
      <c r="P17" s="34">
        <f t="shared" si="1"/>
        <v>129.03840000000002</v>
      </c>
      <c r="Q17" s="34">
        <f t="shared" si="2"/>
        <v>134.84512800000002</v>
      </c>
      <c r="S17" s="145">
        <f>'[1]6108LEGAL'!$R$5</f>
        <v>123.60000000000001</v>
      </c>
    </row>
    <row r="18" spans="1:19" x14ac:dyDescent="0.25">
      <c r="A18" s="31" t="s">
        <v>395</v>
      </c>
      <c r="B18" s="31" t="s">
        <v>11</v>
      </c>
      <c r="C18" s="31" t="s">
        <v>12</v>
      </c>
      <c r="D18" s="31" t="s">
        <v>43</v>
      </c>
      <c r="E18" s="31" t="s">
        <v>393</v>
      </c>
      <c r="F18" s="31" t="s">
        <v>15</v>
      </c>
      <c r="G18" s="31" t="s">
        <v>16</v>
      </c>
      <c r="H18" s="31" t="s">
        <v>250</v>
      </c>
      <c r="I18" s="32" t="s">
        <v>18</v>
      </c>
      <c r="J18" s="32">
        <v>3</v>
      </c>
      <c r="K18" s="32"/>
      <c r="L18" s="34">
        <v>1497.36</v>
      </c>
      <c r="M18" s="34">
        <v>5748.24</v>
      </c>
      <c r="N18" s="34">
        <v>5748.24</v>
      </c>
      <c r="O18" s="34">
        <f t="shared" si="0"/>
        <v>1497.36</v>
      </c>
      <c r="P18" s="34">
        <f t="shared" si="1"/>
        <v>1563.2438399999999</v>
      </c>
      <c r="Q18" s="34">
        <f t="shared" si="2"/>
        <v>1633.5898127999997</v>
      </c>
      <c r="S18" s="145">
        <f>'[1]6108LEGAL'!$T$5</f>
        <v>1497.36</v>
      </c>
    </row>
    <row r="19" spans="1:19" x14ac:dyDescent="0.25">
      <c r="A19" s="31"/>
      <c r="B19" s="31"/>
      <c r="C19" s="31"/>
      <c r="D19" s="31"/>
      <c r="E19" s="31"/>
      <c r="F19" s="31"/>
      <c r="G19" s="31"/>
      <c r="H19" s="31"/>
      <c r="I19" s="32"/>
      <c r="J19" s="32"/>
      <c r="K19" s="32"/>
      <c r="L19" s="34"/>
      <c r="M19" s="34"/>
      <c r="N19" s="34"/>
      <c r="O19" s="34"/>
      <c r="P19" s="34"/>
      <c r="Q19" s="34"/>
      <c r="S19" s="145"/>
    </row>
    <row r="20" spans="1:19" x14ac:dyDescent="0.25">
      <c r="A20" s="31" t="s">
        <v>392</v>
      </c>
      <c r="B20" s="31" t="s">
        <v>11</v>
      </c>
      <c r="C20" s="31" t="s">
        <v>12</v>
      </c>
      <c r="D20" s="31" t="s">
        <v>30</v>
      </c>
      <c r="E20" s="31" t="s">
        <v>393</v>
      </c>
      <c r="F20" s="31" t="s">
        <v>15</v>
      </c>
      <c r="G20" s="31" t="s">
        <v>16</v>
      </c>
      <c r="H20" s="31" t="s">
        <v>250</v>
      </c>
      <c r="I20" s="32" t="s">
        <v>18</v>
      </c>
      <c r="J20" s="32">
        <v>3</v>
      </c>
      <c r="K20" s="32"/>
      <c r="L20" s="34">
        <v>5888.5707311999995</v>
      </c>
      <c r="M20" s="34">
        <v>14260.175800000001</v>
      </c>
      <c r="N20" s="34">
        <v>14260.175800000001</v>
      </c>
      <c r="O20" s="34">
        <f t="shared" si="0"/>
        <v>6247.793228399999</v>
      </c>
      <c r="P20" s="34">
        <f t="shared" si="1"/>
        <v>6522.696130449599</v>
      </c>
      <c r="Q20" s="34">
        <f t="shared" si="2"/>
        <v>6816.2174563198305</v>
      </c>
      <c r="S20" s="145">
        <f>'[1]6108LEGAL'!$Q$5</f>
        <v>6247.793228399999</v>
      </c>
    </row>
    <row r="21" spans="1:19" x14ac:dyDescent="0.25">
      <c r="A21" s="31" t="s">
        <v>412</v>
      </c>
      <c r="B21" s="31" t="s">
        <v>11</v>
      </c>
      <c r="C21" s="31" t="s">
        <v>12</v>
      </c>
      <c r="D21" s="31" t="s">
        <v>413</v>
      </c>
      <c r="E21" s="31" t="s">
        <v>393</v>
      </c>
      <c r="F21" s="31" t="s">
        <v>15</v>
      </c>
      <c r="G21" s="31" t="s">
        <v>16</v>
      </c>
      <c r="H21" s="31" t="s">
        <v>250</v>
      </c>
      <c r="I21" s="32" t="s">
        <v>18</v>
      </c>
      <c r="J21" s="32">
        <v>3</v>
      </c>
      <c r="K21" s="32"/>
      <c r="L21" s="43">
        <v>50000</v>
      </c>
      <c r="M21" s="43">
        <v>60000</v>
      </c>
      <c r="N21" s="43">
        <v>60000</v>
      </c>
      <c r="O21" s="43">
        <v>60000</v>
      </c>
      <c r="P21" s="43">
        <v>60000</v>
      </c>
      <c r="Q21" s="43">
        <v>60000</v>
      </c>
    </row>
    <row r="22" spans="1:19" hidden="1" x14ac:dyDescent="0.25">
      <c r="A22" s="31" t="s">
        <v>408</v>
      </c>
      <c r="B22" s="31" t="s">
        <v>11</v>
      </c>
      <c r="C22" s="31" t="s">
        <v>12</v>
      </c>
      <c r="D22" s="31" t="s">
        <v>409</v>
      </c>
      <c r="E22" s="31" t="s">
        <v>393</v>
      </c>
      <c r="F22" s="31" t="s">
        <v>15</v>
      </c>
      <c r="G22" s="31" t="s">
        <v>16</v>
      </c>
      <c r="H22" s="31" t="s">
        <v>250</v>
      </c>
      <c r="I22" s="32" t="s">
        <v>18</v>
      </c>
      <c r="J22" s="32">
        <v>3</v>
      </c>
      <c r="K22" s="32"/>
      <c r="L22" s="43"/>
      <c r="M22" s="43"/>
      <c r="N22" s="43"/>
      <c r="O22" s="43"/>
      <c r="P22" s="43"/>
      <c r="Q22" s="43"/>
    </row>
    <row r="23" spans="1:19" x14ac:dyDescent="0.25">
      <c r="A23" s="31" t="s">
        <v>410</v>
      </c>
      <c r="B23" s="31" t="s">
        <v>11</v>
      </c>
      <c r="C23" s="31" t="s">
        <v>12</v>
      </c>
      <c r="D23" s="31" t="s">
        <v>411</v>
      </c>
      <c r="E23" s="31" t="s">
        <v>393</v>
      </c>
      <c r="F23" s="31" t="s">
        <v>15</v>
      </c>
      <c r="G23" s="31" t="s">
        <v>16</v>
      </c>
      <c r="H23" s="31" t="s">
        <v>250</v>
      </c>
      <c r="I23" s="32" t="s">
        <v>18</v>
      </c>
      <c r="J23" s="32">
        <v>3</v>
      </c>
      <c r="K23" s="32"/>
      <c r="L23" s="43">
        <v>5000000</v>
      </c>
      <c r="M23" s="43">
        <v>7000000</v>
      </c>
      <c r="N23" s="43">
        <v>7000000</v>
      </c>
      <c r="O23" s="43">
        <v>7000000</v>
      </c>
      <c r="P23" s="43">
        <v>8000000</v>
      </c>
      <c r="Q23" s="43">
        <v>11000000</v>
      </c>
    </row>
    <row r="24" spans="1:19" x14ac:dyDescent="0.25">
      <c r="A24" s="31" t="s">
        <v>406</v>
      </c>
      <c r="B24" s="31" t="s">
        <v>11</v>
      </c>
      <c r="C24" s="31" t="s">
        <v>12</v>
      </c>
      <c r="D24" s="31" t="s">
        <v>20</v>
      </c>
      <c r="E24" s="31" t="s">
        <v>393</v>
      </c>
      <c r="F24" s="31" t="s">
        <v>15</v>
      </c>
      <c r="G24" s="31" t="s">
        <v>16</v>
      </c>
      <c r="H24" s="31" t="s">
        <v>250</v>
      </c>
      <c r="I24" s="32" t="s">
        <v>18</v>
      </c>
      <c r="J24" s="32">
        <v>3</v>
      </c>
      <c r="K24" s="32"/>
      <c r="L24" s="43">
        <v>2500</v>
      </c>
      <c r="M24" s="43">
        <v>2000</v>
      </c>
      <c r="N24" s="43">
        <v>2000</v>
      </c>
      <c r="O24" s="43">
        <v>2000</v>
      </c>
      <c r="P24" s="43">
        <v>2000</v>
      </c>
      <c r="Q24" s="43">
        <v>2000</v>
      </c>
    </row>
    <row r="25" spans="1:19" x14ac:dyDescent="0.25">
      <c r="A25" s="31" t="s">
        <v>407</v>
      </c>
      <c r="B25" s="31" t="s">
        <v>11</v>
      </c>
      <c r="C25" s="31" t="s">
        <v>12</v>
      </c>
      <c r="D25" s="31" t="s">
        <v>24</v>
      </c>
      <c r="E25" s="31" t="s">
        <v>393</v>
      </c>
      <c r="F25" s="31" t="s">
        <v>15</v>
      </c>
      <c r="G25" s="31" t="s">
        <v>16</v>
      </c>
      <c r="H25" s="31" t="s">
        <v>250</v>
      </c>
      <c r="I25" s="32" t="s">
        <v>18</v>
      </c>
      <c r="J25" s="32">
        <v>3</v>
      </c>
      <c r="K25" s="32"/>
      <c r="L25" s="43">
        <v>1500</v>
      </c>
      <c r="M25" s="43">
        <v>4000</v>
      </c>
      <c r="N25" s="43">
        <v>4000</v>
      </c>
      <c r="O25" s="43">
        <v>4000</v>
      </c>
      <c r="P25" s="43">
        <v>4000</v>
      </c>
      <c r="Q25" s="43">
        <v>4000</v>
      </c>
    </row>
    <row r="26" spans="1:19" x14ac:dyDescent="0.25">
      <c r="A26" s="31" t="s">
        <v>405</v>
      </c>
      <c r="B26" s="31" t="s">
        <v>11</v>
      </c>
      <c r="C26" s="31" t="s">
        <v>12</v>
      </c>
      <c r="D26" s="31" t="s">
        <v>28</v>
      </c>
      <c r="E26" s="31" t="s">
        <v>393</v>
      </c>
      <c r="F26" s="31" t="s">
        <v>15</v>
      </c>
      <c r="G26" s="31" t="s">
        <v>16</v>
      </c>
      <c r="H26" s="31" t="s">
        <v>250</v>
      </c>
      <c r="I26" s="32" t="s">
        <v>18</v>
      </c>
      <c r="J26" s="32">
        <v>3</v>
      </c>
      <c r="K26" s="32"/>
      <c r="L26" s="43">
        <v>40000</v>
      </c>
      <c r="M26" s="43">
        <v>60000</v>
      </c>
      <c r="N26" s="43">
        <v>60000</v>
      </c>
      <c r="O26" s="43">
        <v>70000</v>
      </c>
      <c r="P26" s="43">
        <v>70000</v>
      </c>
      <c r="Q26" s="43">
        <v>70000</v>
      </c>
    </row>
    <row r="27" spans="1:19" x14ac:dyDescent="0.25">
      <c r="A27" s="31" t="s">
        <v>404</v>
      </c>
      <c r="B27" s="31" t="s">
        <v>11</v>
      </c>
      <c r="C27" s="31" t="s">
        <v>12</v>
      </c>
      <c r="D27" s="31" t="s">
        <v>13</v>
      </c>
      <c r="E27" s="31" t="s">
        <v>393</v>
      </c>
      <c r="F27" s="31" t="s">
        <v>15</v>
      </c>
      <c r="G27" s="31" t="s">
        <v>16</v>
      </c>
      <c r="H27" s="31" t="s">
        <v>250</v>
      </c>
      <c r="I27" s="32" t="s">
        <v>18</v>
      </c>
      <c r="J27" s="32">
        <v>3</v>
      </c>
      <c r="K27" s="32"/>
      <c r="L27" s="43">
        <v>12000</v>
      </c>
      <c r="M27" s="43">
        <v>13000</v>
      </c>
      <c r="N27" s="43">
        <v>13000</v>
      </c>
      <c r="O27" s="43">
        <v>13000</v>
      </c>
      <c r="P27" s="43">
        <v>13000</v>
      </c>
      <c r="Q27" s="43">
        <v>13000</v>
      </c>
    </row>
    <row r="28" spans="1:19" hidden="1" x14ac:dyDescent="0.25">
      <c r="A28" s="31" t="s">
        <v>402</v>
      </c>
      <c r="B28" s="31" t="s">
        <v>11</v>
      </c>
      <c r="C28" s="31" t="s">
        <v>12</v>
      </c>
      <c r="D28" s="31" t="s">
        <v>32</v>
      </c>
      <c r="E28" s="31" t="s">
        <v>393</v>
      </c>
      <c r="F28" s="31" t="s">
        <v>15</v>
      </c>
      <c r="G28" s="31" t="s">
        <v>16</v>
      </c>
      <c r="H28" s="31" t="s">
        <v>250</v>
      </c>
      <c r="I28" s="32" t="s">
        <v>18</v>
      </c>
      <c r="J28" s="32">
        <v>3</v>
      </c>
      <c r="K28" s="32"/>
      <c r="L28" s="43"/>
      <c r="M28" s="43"/>
      <c r="N28" s="43"/>
      <c r="O28" s="43"/>
      <c r="P28" s="43"/>
      <c r="Q28" s="43"/>
    </row>
    <row r="29" spans="1:19" hidden="1" x14ac:dyDescent="0.25">
      <c r="A29" s="31" t="s">
        <v>401</v>
      </c>
      <c r="B29" s="31" t="s">
        <v>11</v>
      </c>
      <c r="C29" s="31" t="s">
        <v>12</v>
      </c>
      <c r="D29" s="31" t="s">
        <v>26</v>
      </c>
      <c r="E29" s="31" t="s">
        <v>393</v>
      </c>
      <c r="F29" s="31" t="s">
        <v>15</v>
      </c>
      <c r="G29" s="31" t="s">
        <v>16</v>
      </c>
      <c r="H29" s="31" t="s">
        <v>250</v>
      </c>
      <c r="I29" s="32" t="s">
        <v>18</v>
      </c>
      <c r="J29" s="32">
        <v>3</v>
      </c>
      <c r="K29" s="32"/>
      <c r="L29" s="43"/>
      <c r="M29" s="43"/>
      <c r="N29" s="43"/>
      <c r="O29" s="43"/>
      <c r="P29" s="43"/>
      <c r="Q29" s="43"/>
    </row>
    <row r="30" spans="1:19" x14ac:dyDescent="0.25">
      <c r="A30" s="31" t="s">
        <v>403</v>
      </c>
      <c r="B30" s="31" t="s">
        <v>11</v>
      </c>
      <c r="C30" s="31" t="s">
        <v>12</v>
      </c>
      <c r="D30" s="31" t="s">
        <v>22</v>
      </c>
      <c r="E30" s="31" t="s">
        <v>393</v>
      </c>
      <c r="F30" s="31" t="s">
        <v>15</v>
      </c>
      <c r="G30" s="31" t="s">
        <v>16</v>
      </c>
      <c r="H30" s="31" t="s">
        <v>250</v>
      </c>
      <c r="I30" s="32" t="s">
        <v>18</v>
      </c>
      <c r="J30" s="32">
        <v>3</v>
      </c>
      <c r="K30" s="32"/>
      <c r="L30" s="43">
        <v>5500</v>
      </c>
      <c r="M30" s="43">
        <v>6000</v>
      </c>
      <c r="N30" s="43">
        <v>6000</v>
      </c>
      <c r="O30" s="43">
        <v>6000</v>
      </c>
      <c r="P30" s="43">
        <v>6000</v>
      </c>
      <c r="Q30" s="43">
        <v>6000</v>
      </c>
    </row>
    <row r="31" spans="1:19" x14ac:dyDescent="0.25">
      <c r="A31" s="31"/>
      <c r="B31" s="31"/>
      <c r="C31" s="31"/>
      <c r="D31" s="31"/>
      <c r="E31" s="31"/>
      <c r="F31" s="31"/>
      <c r="G31" s="31"/>
      <c r="H31" s="31"/>
      <c r="I31" s="32"/>
      <c r="J31" s="32"/>
      <c r="K31" s="32"/>
      <c r="L31" s="34"/>
      <c r="M31" s="34"/>
      <c r="N31" s="34"/>
      <c r="O31" s="34"/>
      <c r="P31" s="34"/>
      <c r="Q31" s="34"/>
    </row>
    <row r="32" spans="1:19" s="107" customFormat="1" x14ac:dyDescent="0.25">
      <c r="A32" s="52" t="s">
        <v>2023</v>
      </c>
      <c r="B32" s="52" t="s">
        <v>414</v>
      </c>
      <c r="C32" s="52" t="s">
        <v>354</v>
      </c>
      <c r="D32" s="52" t="s">
        <v>1733</v>
      </c>
      <c r="E32" s="52" t="s">
        <v>393</v>
      </c>
      <c r="F32" s="52" t="s">
        <v>292</v>
      </c>
      <c r="G32" s="52" t="s">
        <v>16</v>
      </c>
      <c r="H32" s="52" t="s">
        <v>250</v>
      </c>
      <c r="I32" s="104" t="s">
        <v>18</v>
      </c>
      <c r="J32" s="104">
        <v>3</v>
      </c>
      <c r="K32" s="104"/>
      <c r="L32" s="105">
        <v>100000</v>
      </c>
      <c r="M32" s="105">
        <v>50000</v>
      </c>
      <c r="N32" s="105">
        <v>50000</v>
      </c>
      <c r="O32" s="105">
        <v>100000</v>
      </c>
      <c r="P32" s="105">
        <v>100000</v>
      </c>
      <c r="Q32" s="105">
        <v>100000</v>
      </c>
      <c r="S32" s="106"/>
    </row>
    <row r="35" spans="1:17" ht="15.75" thickBot="1" x14ac:dyDescent="0.3">
      <c r="A35" s="93" t="s">
        <v>1203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1">
        <f t="shared" ref="L35:Q35" si="3">SUM(L6:L34)</f>
        <v>6323255.0054576006</v>
      </c>
      <c r="M35" s="91">
        <f t="shared" si="3"/>
        <v>9308227.5133999996</v>
      </c>
      <c r="N35" s="91">
        <f t="shared" si="3"/>
        <v>9308227.5133999996</v>
      </c>
      <c r="O35" s="91">
        <f t="shared" si="3"/>
        <v>8384609.9063031999</v>
      </c>
      <c r="P35" s="91">
        <f t="shared" si="3"/>
        <v>9434312.7421805412</v>
      </c>
      <c r="Q35" s="91">
        <f t="shared" si="3"/>
        <v>12487381.815578666</v>
      </c>
    </row>
  </sheetData>
  <sortState xmlns:xlrd2="http://schemas.microsoft.com/office/spreadsheetml/2017/richdata2" ref="A2:Z25">
    <sortCondition ref="D2:D25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42"/>
  <sheetViews>
    <sheetView zoomScale="120" zoomScaleNormal="12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8.375" style="35" customWidth="1"/>
    <col min="2" max="2" width="0" style="35" hidden="1" customWidth="1"/>
    <col min="3" max="3" width="29.375" style="35" hidden="1" customWidth="1"/>
    <col min="4" max="4" width="43.25" style="35" customWidth="1"/>
    <col min="5" max="11" width="9.125" style="35" hidden="1" customWidth="1"/>
    <col min="12" max="12" width="14.125" style="37" bestFit="1" customWidth="1"/>
    <col min="13" max="13" width="14.125" style="35" bestFit="1" customWidth="1"/>
    <col min="14" max="17" width="14.125" style="171" customWidth="1"/>
    <col min="18" max="18" width="9.125" style="35"/>
    <col min="19" max="19" width="14.1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1738</v>
      </c>
      <c r="B3" s="72"/>
      <c r="C3" s="72"/>
      <c r="D3" s="72"/>
    </row>
    <row r="4" spans="1:19" ht="73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432</v>
      </c>
      <c r="B5" s="31" t="s">
        <v>11</v>
      </c>
      <c r="C5" s="31" t="s">
        <v>12</v>
      </c>
      <c r="D5" s="31" t="s">
        <v>157</v>
      </c>
      <c r="E5" s="31" t="s">
        <v>14</v>
      </c>
      <c r="F5" s="31" t="s">
        <v>15</v>
      </c>
      <c r="G5" s="31" t="s">
        <v>16</v>
      </c>
      <c r="H5" s="31" t="s">
        <v>420</v>
      </c>
      <c r="I5" s="32" t="s">
        <v>18</v>
      </c>
      <c r="J5" s="32">
        <v>3</v>
      </c>
      <c r="K5" s="32"/>
      <c r="L5" s="34">
        <v>7425150.7565999981</v>
      </c>
      <c r="M5" s="34">
        <v>5980435.5299999993</v>
      </c>
      <c r="N5" s="34">
        <v>5980435.5299999993</v>
      </c>
      <c r="O5" s="34">
        <f>S5</f>
        <v>8243760.8990399977</v>
      </c>
      <c r="P5" s="34">
        <f>O5*1.044</f>
        <v>8606486.3785977587</v>
      </c>
      <c r="Q5" s="34">
        <f>P5*1.045</f>
        <v>8993778.2656346578</v>
      </c>
      <c r="S5" s="145">
        <f>'[1]6109ADM'!$E$35</f>
        <v>8243760.8990399977</v>
      </c>
    </row>
    <row r="6" spans="1:19" hidden="1" x14ac:dyDescent="0.25">
      <c r="A6" s="71" t="s">
        <v>457</v>
      </c>
      <c r="B6" s="31"/>
      <c r="C6" s="31"/>
      <c r="D6" s="31" t="s">
        <v>162</v>
      </c>
      <c r="E6" s="31"/>
      <c r="F6" s="31"/>
      <c r="G6" s="31"/>
      <c r="H6" s="31"/>
      <c r="I6" s="32"/>
      <c r="J6" s="32"/>
      <c r="K6" s="32"/>
      <c r="L6" s="34"/>
      <c r="M6" s="34">
        <v>0</v>
      </c>
      <c r="N6" s="34">
        <v>0</v>
      </c>
      <c r="O6" s="34">
        <f t="shared" ref="O6:O22" si="0">S6</f>
        <v>0</v>
      </c>
      <c r="P6" s="34">
        <f t="shared" ref="P6:P22" si="1">O6*1.044</f>
        <v>0</v>
      </c>
      <c r="Q6" s="34">
        <f t="shared" ref="Q6:Q22" si="2">P6*1.045</f>
        <v>0</v>
      </c>
      <c r="S6" s="145"/>
    </row>
    <row r="7" spans="1:19" x14ac:dyDescent="0.25">
      <c r="A7" s="31" t="s">
        <v>425</v>
      </c>
      <c r="B7" s="31" t="s">
        <v>11</v>
      </c>
      <c r="C7" s="31" t="s">
        <v>12</v>
      </c>
      <c r="D7" s="31" t="s">
        <v>1630</v>
      </c>
      <c r="E7" s="31" t="s">
        <v>14</v>
      </c>
      <c r="F7" s="31" t="s">
        <v>15</v>
      </c>
      <c r="G7" s="31" t="s">
        <v>16</v>
      </c>
      <c r="H7" s="31" t="s">
        <v>420</v>
      </c>
      <c r="I7" s="32" t="s">
        <v>18</v>
      </c>
      <c r="J7" s="32">
        <v>3</v>
      </c>
      <c r="K7" s="32"/>
      <c r="L7" s="34">
        <v>40000</v>
      </c>
      <c r="M7" s="34">
        <v>30000</v>
      </c>
      <c r="N7" s="34">
        <v>30000</v>
      </c>
      <c r="O7" s="34">
        <v>30000</v>
      </c>
      <c r="P7" s="34">
        <f t="shared" si="1"/>
        <v>31320</v>
      </c>
      <c r="Q7" s="34">
        <f t="shared" si="2"/>
        <v>32729.399999999998</v>
      </c>
      <c r="S7" s="145"/>
    </row>
    <row r="8" spans="1:19" x14ac:dyDescent="0.25">
      <c r="A8" s="31" t="s">
        <v>427</v>
      </c>
      <c r="B8" s="31" t="s">
        <v>11</v>
      </c>
      <c r="C8" s="31" t="s">
        <v>12</v>
      </c>
      <c r="D8" s="31" t="s">
        <v>153</v>
      </c>
      <c r="E8" s="31" t="s">
        <v>14</v>
      </c>
      <c r="F8" s="31" t="s">
        <v>15</v>
      </c>
      <c r="G8" s="31" t="s">
        <v>16</v>
      </c>
      <c r="H8" s="31" t="s">
        <v>420</v>
      </c>
      <c r="I8" s="32" t="s">
        <v>18</v>
      </c>
      <c r="J8" s="32">
        <v>3</v>
      </c>
      <c r="K8" s="32"/>
      <c r="L8" s="34">
        <v>618762.56305</v>
      </c>
      <c r="M8" s="34">
        <v>636585.89999999991</v>
      </c>
      <c r="N8" s="34">
        <v>636585.89999999991</v>
      </c>
      <c r="O8" s="34">
        <f t="shared" si="0"/>
        <v>686980.07492000004</v>
      </c>
      <c r="P8" s="34">
        <f t="shared" si="1"/>
        <v>717207.19821648009</v>
      </c>
      <c r="Q8" s="34">
        <f t="shared" si="2"/>
        <v>749481.52213622164</v>
      </c>
      <c r="S8" s="145">
        <f>'[1]6109ADM'!$I$35</f>
        <v>686980.07492000004</v>
      </c>
    </row>
    <row r="9" spans="1:19" x14ac:dyDescent="0.25">
      <c r="A9" s="31" t="s">
        <v>428</v>
      </c>
      <c r="B9" s="31" t="s">
        <v>11</v>
      </c>
      <c r="C9" s="31" t="s">
        <v>12</v>
      </c>
      <c r="D9" s="31" t="s">
        <v>155</v>
      </c>
      <c r="E9" s="31" t="s">
        <v>14</v>
      </c>
      <c r="F9" s="31" t="s">
        <v>15</v>
      </c>
      <c r="G9" s="31" t="s">
        <v>16</v>
      </c>
      <c r="H9" s="31" t="s">
        <v>420</v>
      </c>
      <c r="I9" s="32" t="s">
        <v>18</v>
      </c>
      <c r="J9" s="32">
        <v>3</v>
      </c>
      <c r="K9" s="32"/>
      <c r="L9" s="34">
        <v>18570.413280000001</v>
      </c>
      <c r="M9" s="34">
        <v>18570.413280000001</v>
      </c>
      <c r="N9" s="34">
        <v>18570.413280000001</v>
      </c>
      <c r="O9" s="34">
        <f t="shared" si="0"/>
        <v>54093.710000000006</v>
      </c>
      <c r="P9" s="34">
        <f t="shared" si="1"/>
        <v>56473.833240000007</v>
      </c>
      <c r="Q9" s="34">
        <f t="shared" si="2"/>
        <v>59015.155735800006</v>
      </c>
      <c r="S9" s="145">
        <f>'[2]6109ADM'!$J$35</f>
        <v>54093.710000000006</v>
      </c>
    </row>
    <row r="10" spans="1:19" x14ac:dyDescent="0.25">
      <c r="A10" s="31" t="s">
        <v>423</v>
      </c>
      <c r="B10" s="31" t="s">
        <v>11</v>
      </c>
      <c r="C10" s="31" t="s">
        <v>12</v>
      </c>
      <c r="D10" s="31" t="s">
        <v>41</v>
      </c>
      <c r="E10" s="31" t="s">
        <v>14</v>
      </c>
      <c r="F10" s="31" t="s">
        <v>15</v>
      </c>
      <c r="G10" s="31" t="s">
        <v>16</v>
      </c>
      <c r="H10" s="31" t="s">
        <v>420</v>
      </c>
      <c r="I10" s="32" t="s">
        <v>18</v>
      </c>
      <c r="J10" s="32">
        <v>3</v>
      </c>
      <c r="K10" s="32"/>
      <c r="L10" s="34">
        <v>1633533.1664519999</v>
      </c>
      <c r="M10" s="34">
        <v>1264020.2831999999</v>
      </c>
      <c r="N10" s="34">
        <v>1264020.2831999999</v>
      </c>
      <c r="O10" s="34">
        <f t="shared" si="0"/>
        <v>1813627.3977887996</v>
      </c>
      <c r="P10" s="34">
        <f t="shared" si="1"/>
        <v>1893427.0032915068</v>
      </c>
      <c r="Q10" s="34">
        <f t="shared" si="2"/>
        <v>1978631.2184396244</v>
      </c>
      <c r="S10" s="145">
        <f>'[1]6109ADM'!$K$35</f>
        <v>1813627.3977887996</v>
      </c>
    </row>
    <row r="11" spans="1:19" x14ac:dyDescent="0.25">
      <c r="A11" s="31" t="s">
        <v>422</v>
      </c>
      <c r="B11" s="31" t="s">
        <v>11</v>
      </c>
      <c r="C11" s="31" t="s">
        <v>12</v>
      </c>
      <c r="D11" s="31" t="s">
        <v>36</v>
      </c>
      <c r="E11" s="31" t="s">
        <v>14</v>
      </c>
      <c r="F11" s="31" t="s">
        <v>15</v>
      </c>
      <c r="G11" s="31" t="s">
        <v>16</v>
      </c>
      <c r="H11" s="31" t="s">
        <v>420</v>
      </c>
      <c r="I11" s="32" t="s">
        <v>18</v>
      </c>
      <c r="J11" s="32">
        <v>3</v>
      </c>
      <c r="K11" s="32"/>
      <c r="L11" s="34">
        <v>554280.48</v>
      </c>
      <c r="M11" s="34">
        <v>467289.36</v>
      </c>
      <c r="N11" s="34">
        <v>467289.36</v>
      </c>
      <c r="O11" s="34">
        <f t="shared" si="0"/>
        <v>535632.48</v>
      </c>
      <c r="P11" s="34">
        <f t="shared" si="1"/>
        <v>559200.30911999999</v>
      </c>
      <c r="Q11" s="34">
        <f t="shared" si="2"/>
        <v>584364.32303039997</v>
      </c>
      <c r="S11" s="145">
        <f>'[1]6109ADM'!$L$35</f>
        <v>535632.48</v>
      </c>
    </row>
    <row r="12" spans="1:19" x14ac:dyDescent="0.25">
      <c r="A12" s="31" t="s">
        <v>431</v>
      </c>
      <c r="B12" s="31" t="s">
        <v>11</v>
      </c>
      <c r="C12" s="31" t="s">
        <v>12</v>
      </c>
      <c r="D12" s="31" t="s">
        <v>47</v>
      </c>
      <c r="E12" s="31" t="s">
        <v>14</v>
      </c>
      <c r="F12" s="31" t="s">
        <v>15</v>
      </c>
      <c r="G12" s="31" t="s">
        <v>16</v>
      </c>
      <c r="H12" s="31" t="s">
        <v>420</v>
      </c>
      <c r="I12" s="32" t="s">
        <v>18</v>
      </c>
      <c r="J12" s="32">
        <v>3</v>
      </c>
      <c r="K12" s="32"/>
      <c r="L12" s="34">
        <v>795038.88000000012</v>
      </c>
      <c r="M12" s="34">
        <v>696465.48</v>
      </c>
      <c r="N12" s="34">
        <v>696465.48</v>
      </c>
      <c r="O12" s="34">
        <f t="shared" si="0"/>
        <v>854340.00719999988</v>
      </c>
      <c r="P12" s="34">
        <f t="shared" si="1"/>
        <v>891930.96751679992</v>
      </c>
      <c r="Q12" s="34">
        <f t="shared" si="2"/>
        <v>932067.86105505587</v>
      </c>
      <c r="S12" s="145">
        <f>'[1]6109ADM'!$M$35</f>
        <v>854340.00719999988</v>
      </c>
    </row>
    <row r="13" spans="1:19" x14ac:dyDescent="0.25">
      <c r="A13" s="31" t="s">
        <v>456</v>
      </c>
      <c r="B13" s="31" t="s">
        <v>11</v>
      </c>
      <c r="C13" s="31" t="s">
        <v>12</v>
      </c>
      <c r="D13" s="31" t="s">
        <v>45</v>
      </c>
      <c r="E13" s="31" t="s">
        <v>455</v>
      </c>
      <c r="F13" s="31" t="s">
        <v>37</v>
      </c>
      <c r="G13" s="31" t="s">
        <v>16</v>
      </c>
      <c r="H13" s="31" t="s">
        <v>420</v>
      </c>
      <c r="I13" s="32" t="s">
        <v>38</v>
      </c>
      <c r="J13" s="32">
        <v>3</v>
      </c>
      <c r="K13" s="32"/>
      <c r="L13" s="34">
        <v>72999</v>
      </c>
      <c r="M13" s="34">
        <v>57706.17</v>
      </c>
      <c r="N13" s="34">
        <v>57706.17</v>
      </c>
      <c r="O13" s="34">
        <f t="shared" si="0"/>
        <v>96365.168159999987</v>
      </c>
      <c r="P13" s="34">
        <f t="shared" si="1"/>
        <v>100605.23555904</v>
      </c>
      <c r="Q13" s="34">
        <f t="shared" si="2"/>
        <v>105132.47115919679</v>
      </c>
      <c r="S13" s="145">
        <f>'[1]6109ADM'!$N$35</f>
        <v>96365.168159999987</v>
      </c>
    </row>
    <row r="14" spans="1:19" hidden="1" x14ac:dyDescent="0.25">
      <c r="A14" s="31" t="s">
        <v>426</v>
      </c>
      <c r="B14" s="31" t="s">
        <v>11</v>
      </c>
      <c r="C14" s="31" t="s">
        <v>12</v>
      </c>
      <c r="D14" s="31" t="s">
        <v>282</v>
      </c>
      <c r="E14" s="31" t="s">
        <v>14</v>
      </c>
      <c r="F14" s="31" t="s">
        <v>15</v>
      </c>
      <c r="G14" s="31" t="s">
        <v>16</v>
      </c>
      <c r="H14" s="31" t="s">
        <v>420</v>
      </c>
      <c r="I14" s="32" t="s">
        <v>18</v>
      </c>
      <c r="J14" s="32">
        <v>3</v>
      </c>
      <c r="K14" s="32"/>
      <c r="L14" s="34">
        <v>0</v>
      </c>
      <c r="M14" s="34">
        <v>0</v>
      </c>
      <c r="N14" s="34">
        <v>0</v>
      </c>
      <c r="O14" s="34">
        <f t="shared" si="0"/>
        <v>0</v>
      </c>
      <c r="P14" s="34">
        <f t="shared" si="1"/>
        <v>0</v>
      </c>
      <c r="Q14" s="34">
        <f t="shared" si="2"/>
        <v>0</v>
      </c>
      <c r="S14" s="145"/>
    </row>
    <row r="15" spans="1:19" hidden="1" x14ac:dyDescent="0.25">
      <c r="A15" s="31" t="s">
        <v>430</v>
      </c>
      <c r="B15" s="31" t="s">
        <v>11</v>
      </c>
      <c r="C15" s="31" t="s">
        <v>12</v>
      </c>
      <c r="D15" s="31" t="s">
        <v>156</v>
      </c>
      <c r="E15" s="31" t="s">
        <v>14</v>
      </c>
      <c r="F15" s="31" t="s">
        <v>15</v>
      </c>
      <c r="G15" s="31" t="s">
        <v>16</v>
      </c>
      <c r="H15" s="31" t="s">
        <v>420</v>
      </c>
      <c r="I15" s="32" t="s">
        <v>18</v>
      </c>
      <c r="J15" s="32">
        <v>3</v>
      </c>
      <c r="K15" s="32"/>
      <c r="L15" s="34">
        <v>0</v>
      </c>
      <c r="M15" s="34">
        <v>0</v>
      </c>
      <c r="N15" s="34">
        <v>0</v>
      </c>
      <c r="O15" s="34">
        <f t="shared" si="0"/>
        <v>0</v>
      </c>
      <c r="P15" s="34">
        <f t="shared" si="1"/>
        <v>0</v>
      </c>
      <c r="Q15" s="34">
        <f t="shared" si="2"/>
        <v>0</v>
      </c>
      <c r="S15" s="145"/>
    </row>
    <row r="16" spans="1:19" x14ac:dyDescent="0.25">
      <c r="A16" s="31" t="s">
        <v>421</v>
      </c>
      <c r="B16" s="31" t="s">
        <v>11</v>
      </c>
      <c r="C16" s="31" t="s">
        <v>12</v>
      </c>
      <c r="D16" s="31" t="s">
        <v>151</v>
      </c>
      <c r="E16" s="31" t="s">
        <v>14</v>
      </c>
      <c r="F16" s="31" t="s">
        <v>15</v>
      </c>
      <c r="G16" s="31" t="s">
        <v>16</v>
      </c>
      <c r="H16" s="31" t="s">
        <v>420</v>
      </c>
      <c r="I16" s="32" t="s">
        <v>18</v>
      </c>
      <c r="J16" s="32">
        <v>3</v>
      </c>
      <c r="K16" s="32"/>
      <c r="L16" s="34">
        <v>3445.2000000000016</v>
      </c>
      <c r="M16" s="34">
        <v>3110.599999999999</v>
      </c>
      <c r="N16" s="34">
        <v>3110.599999999999</v>
      </c>
      <c r="O16" s="34">
        <f t="shared" si="0"/>
        <v>3955.199999999998</v>
      </c>
      <c r="P16" s="34">
        <f t="shared" si="1"/>
        <v>4129.228799999998</v>
      </c>
      <c r="Q16" s="34">
        <f t="shared" si="2"/>
        <v>4315.0440959999978</v>
      </c>
      <c r="S16" s="145">
        <f>'[1]6109ADM'!$R$35</f>
        <v>3955.199999999998</v>
      </c>
    </row>
    <row r="17" spans="1:19" hidden="1" x14ac:dyDescent="0.25">
      <c r="A17" s="31" t="s">
        <v>429</v>
      </c>
      <c r="B17" s="31" t="s">
        <v>11</v>
      </c>
      <c r="C17" s="31" t="s">
        <v>12</v>
      </c>
      <c r="D17" s="31" t="s">
        <v>193</v>
      </c>
      <c r="E17" s="31" t="s">
        <v>14</v>
      </c>
      <c r="F17" s="31" t="s">
        <v>15</v>
      </c>
      <c r="G17" s="31" t="s">
        <v>16</v>
      </c>
      <c r="H17" s="31" t="s">
        <v>420</v>
      </c>
      <c r="I17" s="32" t="s">
        <v>18</v>
      </c>
      <c r="J17" s="32">
        <v>3</v>
      </c>
      <c r="K17" s="32"/>
      <c r="L17" s="34">
        <v>0</v>
      </c>
      <c r="M17" s="34">
        <v>0</v>
      </c>
      <c r="N17" s="34">
        <v>0</v>
      </c>
      <c r="O17" s="34">
        <f t="shared" si="0"/>
        <v>0</v>
      </c>
      <c r="P17" s="34">
        <f t="shared" si="1"/>
        <v>0</v>
      </c>
      <c r="Q17" s="34">
        <f t="shared" si="2"/>
        <v>0</v>
      </c>
      <c r="S17" s="145"/>
    </row>
    <row r="18" spans="1:19" s="110" customFormat="1" x14ac:dyDescent="0.25">
      <c r="A18" s="50" t="s">
        <v>429</v>
      </c>
      <c r="B18" s="108"/>
      <c r="C18" s="108"/>
      <c r="D18" s="31" t="s">
        <v>193</v>
      </c>
      <c r="E18" s="108"/>
      <c r="F18" s="108"/>
      <c r="G18" s="108"/>
      <c r="H18" s="108"/>
      <c r="I18" s="109"/>
      <c r="J18" s="109"/>
      <c r="K18" s="109"/>
      <c r="L18" s="34">
        <v>0</v>
      </c>
      <c r="M18" s="34">
        <v>52032.72</v>
      </c>
      <c r="N18" s="34">
        <v>52032.72</v>
      </c>
      <c r="O18" s="34">
        <f t="shared" si="0"/>
        <v>52476.36</v>
      </c>
      <c r="P18" s="34">
        <f t="shared" si="1"/>
        <v>54785.319840000004</v>
      </c>
      <c r="Q18" s="34">
        <f t="shared" si="2"/>
        <v>57250.659232799997</v>
      </c>
      <c r="S18" s="145">
        <f>'[1]6109ADM'!$S$35</f>
        <v>52476.36</v>
      </c>
    </row>
    <row r="19" spans="1:19" x14ac:dyDescent="0.25">
      <c r="A19" s="31" t="s">
        <v>424</v>
      </c>
      <c r="B19" s="31" t="s">
        <v>11</v>
      </c>
      <c r="C19" s="31" t="s">
        <v>12</v>
      </c>
      <c r="D19" s="31" t="s">
        <v>43</v>
      </c>
      <c r="E19" s="31" t="s">
        <v>14</v>
      </c>
      <c r="F19" s="31" t="s">
        <v>15</v>
      </c>
      <c r="G19" s="31" t="s">
        <v>16</v>
      </c>
      <c r="H19" s="31" t="s">
        <v>420</v>
      </c>
      <c r="I19" s="32" t="s">
        <v>18</v>
      </c>
      <c r="J19" s="32">
        <v>3</v>
      </c>
      <c r="K19" s="32"/>
      <c r="L19" s="34">
        <v>43273.608446400009</v>
      </c>
      <c r="M19" s="34">
        <v>51845.964096819211</v>
      </c>
      <c r="N19" s="34">
        <v>51845.964096819211</v>
      </c>
      <c r="O19" s="34">
        <f t="shared" si="0"/>
        <v>47889.90683040001</v>
      </c>
      <c r="P19" s="34">
        <f t="shared" si="1"/>
        <v>49997.062730937614</v>
      </c>
      <c r="Q19" s="34">
        <f t="shared" si="2"/>
        <v>52246.930553829807</v>
      </c>
      <c r="S19" s="145">
        <f>'[1]6109ADM'!$T$35</f>
        <v>47889.90683040001</v>
      </c>
    </row>
    <row r="20" spans="1:19" x14ac:dyDescent="0.25">
      <c r="A20" s="31" t="s">
        <v>457</v>
      </c>
      <c r="B20" s="31" t="s">
        <v>11</v>
      </c>
      <c r="C20" s="31" t="s">
        <v>12</v>
      </c>
      <c r="D20" s="31" t="s">
        <v>162</v>
      </c>
      <c r="E20" s="31" t="s">
        <v>455</v>
      </c>
      <c r="F20" s="31" t="s">
        <v>37</v>
      </c>
      <c r="G20" s="31" t="s">
        <v>16</v>
      </c>
      <c r="H20" s="31" t="s">
        <v>420</v>
      </c>
      <c r="I20" s="32" t="s">
        <v>38</v>
      </c>
      <c r="J20" s="32">
        <v>1</v>
      </c>
      <c r="K20" s="32"/>
      <c r="L20" s="34">
        <v>216108.74688767997</v>
      </c>
      <c r="M20" s="34">
        <v>216108.74688768</v>
      </c>
      <c r="N20" s="34">
        <v>216108.74688768</v>
      </c>
      <c r="O20" s="34">
        <f t="shared" si="0"/>
        <v>177036.85</v>
      </c>
      <c r="P20" s="34">
        <f t="shared" si="1"/>
        <v>184826.47140000001</v>
      </c>
      <c r="Q20" s="34">
        <f t="shared" si="2"/>
        <v>193143.66261299999</v>
      </c>
      <c r="S20" s="145">
        <f>'[1]6109ADM'!$F$35</f>
        <v>177036.85</v>
      </c>
    </row>
    <row r="21" spans="1:19" x14ac:dyDescent="0.25">
      <c r="A21" s="31"/>
      <c r="B21" s="31"/>
      <c r="C21" s="31"/>
      <c r="D21" s="31"/>
      <c r="E21" s="31"/>
      <c r="F21" s="31"/>
      <c r="G21" s="31"/>
      <c r="H21" s="31"/>
      <c r="I21" s="32"/>
      <c r="J21" s="32"/>
      <c r="K21" s="32"/>
      <c r="L21" s="34"/>
      <c r="M21" s="34"/>
      <c r="N21" s="34"/>
      <c r="O21" s="34"/>
      <c r="P21" s="34"/>
      <c r="Q21" s="34"/>
      <c r="S21" s="145"/>
    </row>
    <row r="22" spans="1:19" x14ac:dyDescent="0.25">
      <c r="A22" s="31" t="s">
        <v>419</v>
      </c>
      <c r="B22" s="31" t="s">
        <v>11</v>
      </c>
      <c r="C22" s="31" t="s">
        <v>12</v>
      </c>
      <c r="D22" s="31" t="s">
        <v>30</v>
      </c>
      <c r="E22" s="31" t="s">
        <v>14</v>
      </c>
      <c r="F22" s="31" t="s">
        <v>15</v>
      </c>
      <c r="G22" s="31" t="s">
        <v>16</v>
      </c>
      <c r="H22" s="31" t="s">
        <v>420</v>
      </c>
      <c r="I22" s="32" t="s">
        <v>18</v>
      </c>
      <c r="J22" s="32">
        <v>3</v>
      </c>
      <c r="K22" s="32"/>
      <c r="L22" s="34">
        <v>74251.507565999986</v>
      </c>
      <c r="M22" s="34">
        <v>64689.085599999999</v>
      </c>
      <c r="N22" s="34">
        <v>64689.085599999999</v>
      </c>
      <c r="O22" s="34">
        <f t="shared" si="0"/>
        <v>82437.608990399967</v>
      </c>
      <c r="P22" s="34">
        <f t="shared" si="1"/>
        <v>86064.863785977563</v>
      </c>
      <c r="Q22" s="34">
        <f t="shared" si="2"/>
        <v>89937.78265634655</v>
      </c>
      <c r="S22" s="145">
        <f>'[1]6109ADM'!$Q$35</f>
        <v>82437.608990399967</v>
      </c>
    </row>
    <row r="23" spans="1:19" x14ac:dyDescent="0.25">
      <c r="A23" s="31" t="s">
        <v>434</v>
      </c>
      <c r="B23" s="31" t="s">
        <v>11</v>
      </c>
      <c r="C23" s="31" t="s">
        <v>12</v>
      </c>
      <c r="D23" s="31" t="s">
        <v>435</v>
      </c>
      <c r="E23" s="31" t="s">
        <v>14</v>
      </c>
      <c r="F23" s="31" t="s">
        <v>15</v>
      </c>
      <c r="G23" s="31" t="s">
        <v>16</v>
      </c>
      <c r="H23" s="31" t="s">
        <v>420</v>
      </c>
      <c r="I23" s="32" t="s">
        <v>18</v>
      </c>
      <c r="J23" s="32">
        <v>3</v>
      </c>
      <c r="K23" s="32"/>
      <c r="L23" s="43">
        <v>150000</v>
      </c>
      <c r="M23" s="43">
        <v>150000</v>
      </c>
      <c r="N23" s="43">
        <v>150000</v>
      </c>
      <c r="O23" s="43">
        <v>180000</v>
      </c>
      <c r="P23" s="43">
        <v>190000</v>
      </c>
      <c r="Q23" s="43">
        <v>200000</v>
      </c>
    </row>
    <row r="24" spans="1:19" x14ac:dyDescent="0.25">
      <c r="A24" s="31" t="s">
        <v>436</v>
      </c>
      <c r="B24" s="31" t="s">
        <v>11</v>
      </c>
      <c r="C24" s="31" t="s">
        <v>12</v>
      </c>
      <c r="D24" s="31" t="s">
        <v>437</v>
      </c>
      <c r="E24" s="31" t="s">
        <v>14</v>
      </c>
      <c r="F24" s="31" t="s">
        <v>15</v>
      </c>
      <c r="G24" s="31" t="s">
        <v>16</v>
      </c>
      <c r="H24" s="31" t="s">
        <v>420</v>
      </c>
      <c r="I24" s="32" t="s">
        <v>18</v>
      </c>
      <c r="J24" s="32">
        <v>3</v>
      </c>
      <c r="K24" s="32"/>
      <c r="L24" s="43">
        <v>85000</v>
      </c>
      <c r="M24" s="43">
        <v>111600</v>
      </c>
      <c r="N24" s="43">
        <v>111600</v>
      </c>
      <c r="O24" s="43">
        <v>223200</v>
      </c>
      <c r="P24" s="43">
        <v>223200</v>
      </c>
      <c r="Q24" s="43">
        <v>250200</v>
      </c>
    </row>
    <row r="25" spans="1:19" x14ac:dyDescent="0.25">
      <c r="A25" s="31" t="s">
        <v>438</v>
      </c>
      <c r="B25" s="31" t="s">
        <v>11</v>
      </c>
      <c r="C25" s="31" t="s">
        <v>12</v>
      </c>
      <c r="D25" s="31" t="s">
        <v>439</v>
      </c>
      <c r="E25" s="31" t="s">
        <v>14</v>
      </c>
      <c r="F25" s="31" t="s">
        <v>15</v>
      </c>
      <c r="G25" s="31" t="s">
        <v>16</v>
      </c>
      <c r="H25" s="31" t="s">
        <v>420</v>
      </c>
      <c r="I25" s="32" t="s">
        <v>18</v>
      </c>
      <c r="J25" s="32">
        <v>3</v>
      </c>
      <c r="K25" s="32"/>
      <c r="L25" s="43">
        <v>1000000</v>
      </c>
      <c r="M25" s="43">
        <v>700000</v>
      </c>
      <c r="N25" s="43">
        <v>700000</v>
      </c>
      <c r="O25" s="43">
        <v>800000</v>
      </c>
      <c r="P25" s="43">
        <v>850000</v>
      </c>
      <c r="Q25" s="43">
        <v>900000</v>
      </c>
    </row>
    <row r="26" spans="1:19" x14ac:dyDescent="0.25">
      <c r="A26" s="31" t="s">
        <v>440</v>
      </c>
      <c r="B26" s="31" t="s">
        <v>11</v>
      </c>
      <c r="C26" s="31" t="s">
        <v>12</v>
      </c>
      <c r="D26" s="31" t="s">
        <v>441</v>
      </c>
      <c r="E26" s="31" t="s">
        <v>14</v>
      </c>
      <c r="F26" s="31" t="s">
        <v>15</v>
      </c>
      <c r="G26" s="31" t="s">
        <v>16</v>
      </c>
      <c r="H26" s="31" t="s">
        <v>420</v>
      </c>
      <c r="I26" s="32" t="s">
        <v>18</v>
      </c>
      <c r="J26" s="32">
        <v>3</v>
      </c>
      <c r="K26" s="32"/>
      <c r="L26" s="43">
        <v>250000</v>
      </c>
      <c r="M26" s="43">
        <f>250000+150000</f>
        <v>400000</v>
      </c>
      <c r="N26" s="43">
        <v>400000</v>
      </c>
      <c r="O26" s="43">
        <v>500000</v>
      </c>
      <c r="P26" s="43">
        <v>550000</v>
      </c>
      <c r="Q26" s="43">
        <v>600000</v>
      </c>
    </row>
    <row r="27" spans="1:19" x14ac:dyDescent="0.25">
      <c r="A27" s="31" t="s">
        <v>433</v>
      </c>
      <c r="B27" s="31" t="s">
        <v>11</v>
      </c>
      <c r="C27" s="31" t="s">
        <v>12</v>
      </c>
      <c r="D27" s="31" t="s">
        <v>1665</v>
      </c>
      <c r="E27" s="31" t="s">
        <v>14</v>
      </c>
      <c r="F27" s="31" t="s">
        <v>15</v>
      </c>
      <c r="G27" s="31" t="s">
        <v>16</v>
      </c>
      <c r="H27" s="31" t="s">
        <v>420</v>
      </c>
      <c r="I27" s="32" t="s">
        <v>18</v>
      </c>
      <c r="J27" s="32">
        <v>3</v>
      </c>
      <c r="K27" s="32"/>
      <c r="L27" s="43">
        <v>3000000</v>
      </c>
      <c r="M27" s="43">
        <f>3000000-150000</f>
        <v>2850000</v>
      </c>
      <c r="N27" s="43">
        <v>2850000</v>
      </c>
      <c r="O27" s="43">
        <v>2900000</v>
      </c>
      <c r="P27" s="43">
        <v>3000000</v>
      </c>
      <c r="Q27" s="43">
        <v>3000000</v>
      </c>
    </row>
    <row r="28" spans="1:19" hidden="1" x14ac:dyDescent="0.25">
      <c r="A28" s="31" t="s">
        <v>442</v>
      </c>
      <c r="B28" s="31" t="s">
        <v>11</v>
      </c>
      <c r="C28" s="31" t="s">
        <v>12</v>
      </c>
      <c r="D28" s="31" t="s">
        <v>1666</v>
      </c>
      <c r="E28" s="31" t="s">
        <v>14</v>
      </c>
      <c r="F28" s="31" t="s">
        <v>15</v>
      </c>
      <c r="G28" s="31" t="s">
        <v>16</v>
      </c>
      <c r="H28" s="31" t="s">
        <v>420</v>
      </c>
      <c r="I28" s="32" t="s">
        <v>18</v>
      </c>
      <c r="J28" s="32">
        <v>3</v>
      </c>
      <c r="K28" s="32"/>
      <c r="L28" s="43"/>
      <c r="M28" s="43"/>
      <c r="N28" s="43"/>
      <c r="O28" s="43"/>
      <c r="P28" s="43"/>
      <c r="Q28" s="43"/>
    </row>
    <row r="29" spans="1:19" x14ac:dyDescent="0.25">
      <c r="A29" s="31" t="s">
        <v>447</v>
      </c>
      <c r="B29" s="31" t="s">
        <v>11</v>
      </c>
      <c r="C29" s="31" t="s">
        <v>12</v>
      </c>
      <c r="D29" s="31" t="s">
        <v>20</v>
      </c>
      <c r="E29" s="31" t="s">
        <v>14</v>
      </c>
      <c r="F29" s="31" t="s">
        <v>15</v>
      </c>
      <c r="G29" s="31" t="s">
        <v>16</v>
      </c>
      <c r="H29" s="31" t="s">
        <v>420</v>
      </c>
      <c r="I29" s="32" t="s">
        <v>18</v>
      </c>
      <c r="J29" s="32">
        <v>3</v>
      </c>
      <c r="K29" s="32"/>
      <c r="L29" s="43">
        <v>10000</v>
      </c>
      <c r="M29" s="43">
        <v>8000</v>
      </c>
      <c r="N29" s="43">
        <v>8000</v>
      </c>
      <c r="O29" s="43">
        <v>10000</v>
      </c>
      <c r="P29" s="43">
        <v>10000</v>
      </c>
      <c r="Q29" s="43">
        <v>10000</v>
      </c>
    </row>
    <row r="30" spans="1:19" x14ac:dyDescent="0.25">
      <c r="A30" s="31" t="s">
        <v>449</v>
      </c>
      <c r="B30" s="31" t="s">
        <v>11</v>
      </c>
      <c r="C30" s="31" t="s">
        <v>12</v>
      </c>
      <c r="D30" s="31" t="s">
        <v>24</v>
      </c>
      <c r="E30" s="31" t="s">
        <v>14</v>
      </c>
      <c r="F30" s="31" t="s">
        <v>15</v>
      </c>
      <c r="G30" s="31" t="s">
        <v>16</v>
      </c>
      <c r="H30" s="31" t="s">
        <v>420</v>
      </c>
      <c r="I30" s="32" t="s">
        <v>18</v>
      </c>
      <c r="J30" s="32">
        <v>3</v>
      </c>
      <c r="K30" s="32"/>
      <c r="L30" s="43">
        <v>4000</v>
      </c>
      <c r="M30" s="43">
        <v>3000</v>
      </c>
      <c r="N30" s="43">
        <v>3000</v>
      </c>
      <c r="O30" s="43">
        <v>4000</v>
      </c>
      <c r="P30" s="43">
        <v>5000</v>
      </c>
      <c r="Q30" s="43">
        <v>6000</v>
      </c>
    </row>
    <row r="31" spans="1:19" x14ac:dyDescent="0.25">
      <c r="A31" s="31" t="s">
        <v>444</v>
      </c>
      <c r="B31" s="31" t="s">
        <v>11</v>
      </c>
      <c r="C31" s="31" t="s">
        <v>12</v>
      </c>
      <c r="D31" s="31" t="s">
        <v>28</v>
      </c>
      <c r="E31" s="31" t="s">
        <v>14</v>
      </c>
      <c r="F31" s="31" t="s">
        <v>15</v>
      </c>
      <c r="G31" s="31" t="s">
        <v>16</v>
      </c>
      <c r="H31" s="31" t="s">
        <v>420</v>
      </c>
      <c r="I31" s="32" t="s">
        <v>18</v>
      </c>
      <c r="J31" s="32">
        <v>3</v>
      </c>
      <c r="K31" s="32"/>
      <c r="L31" s="43">
        <v>50000</v>
      </c>
      <c r="M31" s="43">
        <v>40000</v>
      </c>
      <c r="N31" s="43">
        <v>40000</v>
      </c>
      <c r="O31" s="43">
        <v>50000</v>
      </c>
      <c r="P31" s="43">
        <v>60000</v>
      </c>
      <c r="Q31" s="43">
        <v>65000</v>
      </c>
    </row>
    <row r="32" spans="1:19" x14ac:dyDescent="0.25">
      <c r="A32" s="31" t="s">
        <v>446</v>
      </c>
      <c r="B32" s="31" t="s">
        <v>11</v>
      </c>
      <c r="C32" s="31" t="s">
        <v>12</v>
      </c>
      <c r="D32" s="31" t="s">
        <v>13</v>
      </c>
      <c r="E32" s="31" t="s">
        <v>14</v>
      </c>
      <c r="F32" s="31" t="s">
        <v>15</v>
      </c>
      <c r="G32" s="31" t="s">
        <v>16</v>
      </c>
      <c r="H32" s="31" t="s">
        <v>420</v>
      </c>
      <c r="I32" s="32" t="s">
        <v>18</v>
      </c>
      <c r="J32" s="32">
        <v>3</v>
      </c>
      <c r="K32" s="32"/>
      <c r="L32" s="43">
        <v>100000</v>
      </c>
      <c r="M32" s="43">
        <v>80000</v>
      </c>
      <c r="N32" s="43">
        <v>80000</v>
      </c>
      <c r="O32" s="43">
        <v>82000</v>
      </c>
      <c r="P32" s="43">
        <v>83000</v>
      </c>
      <c r="Q32" s="43">
        <v>84000</v>
      </c>
    </row>
    <row r="33" spans="1:19" x14ac:dyDescent="0.25">
      <c r="A33" s="31" t="s">
        <v>445</v>
      </c>
      <c r="B33" s="31" t="s">
        <v>11</v>
      </c>
      <c r="C33" s="31" t="s">
        <v>12</v>
      </c>
      <c r="D33" s="31" t="s">
        <v>32</v>
      </c>
      <c r="E33" s="31" t="s">
        <v>14</v>
      </c>
      <c r="F33" s="31" t="s">
        <v>15</v>
      </c>
      <c r="G33" s="31" t="s">
        <v>16</v>
      </c>
      <c r="H33" s="31" t="s">
        <v>420</v>
      </c>
      <c r="I33" s="32" t="s">
        <v>18</v>
      </c>
      <c r="J33" s="32">
        <v>3</v>
      </c>
      <c r="K33" s="32"/>
      <c r="L33" s="43">
        <v>5000</v>
      </c>
      <c r="M33" s="43">
        <v>0</v>
      </c>
      <c r="N33" s="43">
        <v>0</v>
      </c>
      <c r="O33" s="43" t="s">
        <v>2256</v>
      </c>
      <c r="P33" s="43" t="s">
        <v>2256</v>
      </c>
      <c r="Q33" s="43" t="s">
        <v>2256</v>
      </c>
    </row>
    <row r="34" spans="1:19" x14ac:dyDescent="0.25">
      <c r="A34" s="31" t="s">
        <v>443</v>
      </c>
      <c r="B34" s="31" t="s">
        <v>11</v>
      </c>
      <c r="C34" s="31" t="s">
        <v>12</v>
      </c>
      <c r="D34" s="31" t="s">
        <v>26</v>
      </c>
      <c r="E34" s="31" t="s">
        <v>14</v>
      </c>
      <c r="F34" s="31" t="s">
        <v>15</v>
      </c>
      <c r="G34" s="31" t="s">
        <v>16</v>
      </c>
      <c r="H34" s="31" t="s">
        <v>420</v>
      </c>
      <c r="I34" s="32" t="s">
        <v>18</v>
      </c>
      <c r="J34" s="32">
        <v>3</v>
      </c>
      <c r="K34" s="32"/>
      <c r="L34" s="43">
        <v>3000</v>
      </c>
      <c r="M34" s="43">
        <v>0</v>
      </c>
      <c r="N34" s="43">
        <v>0</v>
      </c>
      <c r="O34" s="43" t="s">
        <v>2256</v>
      </c>
      <c r="P34" s="43" t="s">
        <v>2256</v>
      </c>
      <c r="Q34" s="43" t="s">
        <v>2256</v>
      </c>
    </row>
    <row r="35" spans="1:19" x14ac:dyDescent="0.25">
      <c r="A35" s="31" t="s">
        <v>448</v>
      </c>
      <c r="B35" s="31" t="s">
        <v>11</v>
      </c>
      <c r="C35" s="31" t="s">
        <v>12</v>
      </c>
      <c r="D35" s="31" t="s">
        <v>22</v>
      </c>
      <c r="E35" s="31" t="s">
        <v>14</v>
      </c>
      <c r="F35" s="31" t="s">
        <v>15</v>
      </c>
      <c r="G35" s="31" t="s">
        <v>16</v>
      </c>
      <c r="H35" s="31" t="s">
        <v>420</v>
      </c>
      <c r="I35" s="32" t="s">
        <v>18</v>
      </c>
      <c r="J35" s="32">
        <v>3</v>
      </c>
      <c r="K35" s="32"/>
      <c r="L35" s="43">
        <v>40000</v>
      </c>
      <c r="M35" s="43">
        <v>30000</v>
      </c>
      <c r="N35" s="43">
        <v>30000</v>
      </c>
      <c r="O35" s="43">
        <v>35000</v>
      </c>
      <c r="P35" s="43">
        <v>40000</v>
      </c>
      <c r="Q35" s="43">
        <v>45000</v>
      </c>
    </row>
    <row r="36" spans="1:19" x14ac:dyDescent="0.25">
      <c r="A36" s="31"/>
      <c r="B36" s="31"/>
      <c r="C36" s="31"/>
      <c r="D36" s="31"/>
      <c r="E36" s="31"/>
      <c r="F36" s="31"/>
      <c r="G36" s="31"/>
      <c r="H36" s="31"/>
      <c r="I36" s="32"/>
      <c r="J36" s="32"/>
      <c r="K36" s="32"/>
      <c r="M36" s="37"/>
      <c r="N36" s="37"/>
      <c r="O36" s="37"/>
      <c r="P36" s="37"/>
      <c r="Q36" s="37"/>
    </row>
    <row r="37" spans="1:19" x14ac:dyDescent="0.25">
      <c r="A37" s="71" t="s">
        <v>450</v>
      </c>
      <c r="B37" s="31" t="s">
        <v>451</v>
      </c>
      <c r="C37" s="31" t="s">
        <v>347</v>
      </c>
      <c r="D37" s="31" t="s">
        <v>1691</v>
      </c>
      <c r="E37" s="31" t="s">
        <v>14</v>
      </c>
      <c r="F37" s="31" t="s">
        <v>15</v>
      </c>
      <c r="G37" s="31" t="s">
        <v>16</v>
      </c>
      <c r="H37" s="31" t="s">
        <v>420</v>
      </c>
      <c r="I37" s="32" t="s">
        <v>18</v>
      </c>
      <c r="J37" s="32">
        <v>3</v>
      </c>
      <c r="K37" s="32"/>
      <c r="L37" s="43">
        <v>50000</v>
      </c>
      <c r="M37" s="43">
        <v>23400</v>
      </c>
      <c r="N37" s="43">
        <v>23400</v>
      </c>
      <c r="O37" s="43">
        <v>50000</v>
      </c>
      <c r="P37" s="43">
        <v>50000</v>
      </c>
      <c r="Q37" s="43">
        <v>50000</v>
      </c>
    </row>
    <row r="38" spans="1:19" x14ac:dyDescent="0.25">
      <c r="A38" s="31"/>
      <c r="B38" s="31"/>
      <c r="C38" s="31"/>
      <c r="D38" s="31"/>
      <c r="E38" s="31"/>
      <c r="F38" s="31"/>
      <c r="G38" s="31"/>
      <c r="H38" s="31"/>
      <c r="I38" s="32"/>
      <c r="J38" s="32"/>
      <c r="K38" s="32"/>
      <c r="L38" s="43"/>
      <c r="M38" s="43"/>
      <c r="N38" s="43"/>
      <c r="O38" s="43"/>
      <c r="P38" s="43"/>
      <c r="Q38" s="43"/>
    </row>
    <row r="39" spans="1:19" s="107" customFormat="1" x14ac:dyDescent="0.25">
      <c r="A39" s="50" t="s">
        <v>1193</v>
      </c>
      <c r="B39" s="52" t="s">
        <v>452</v>
      </c>
      <c r="C39" s="52" t="s">
        <v>12</v>
      </c>
      <c r="D39" s="52" t="s">
        <v>1692</v>
      </c>
      <c r="E39" s="52" t="s">
        <v>14</v>
      </c>
      <c r="F39" s="52" t="s">
        <v>15</v>
      </c>
      <c r="G39" s="52" t="s">
        <v>16</v>
      </c>
      <c r="H39" s="52" t="s">
        <v>420</v>
      </c>
      <c r="I39" s="104" t="s">
        <v>18</v>
      </c>
      <c r="J39" s="104">
        <v>3</v>
      </c>
      <c r="K39" s="104"/>
      <c r="L39" s="105">
        <v>1000000</v>
      </c>
      <c r="M39" s="105">
        <v>1000000</v>
      </c>
      <c r="N39" s="105">
        <v>1000000</v>
      </c>
      <c r="O39" s="105">
        <v>1000000</v>
      </c>
      <c r="P39" s="105">
        <v>1000000</v>
      </c>
      <c r="Q39" s="105">
        <v>1000000</v>
      </c>
      <c r="S39" s="106"/>
    </row>
    <row r="40" spans="1:19" hidden="1" x14ac:dyDescent="0.25">
      <c r="A40" s="31" t="s">
        <v>453</v>
      </c>
      <c r="B40" s="31" t="s">
        <v>454</v>
      </c>
      <c r="C40" s="31" t="s">
        <v>358</v>
      </c>
      <c r="D40" s="31" t="s">
        <v>159</v>
      </c>
      <c r="E40" s="31" t="s">
        <v>455</v>
      </c>
      <c r="F40" s="31" t="s">
        <v>37</v>
      </c>
      <c r="G40" s="31" t="s">
        <v>16</v>
      </c>
      <c r="H40" s="31" t="s">
        <v>420</v>
      </c>
      <c r="I40" s="32" t="s">
        <v>38</v>
      </c>
      <c r="J40" s="32">
        <v>1</v>
      </c>
      <c r="K40" s="32"/>
      <c r="M40" s="37"/>
      <c r="N40" s="37"/>
      <c r="O40" s="37"/>
      <c r="P40" s="37"/>
      <c r="Q40" s="37"/>
    </row>
    <row r="41" spans="1:19" x14ac:dyDescent="0.25">
      <c r="M41" s="37"/>
      <c r="N41" s="37"/>
      <c r="O41" s="37"/>
      <c r="P41" s="37"/>
      <c r="Q41" s="37"/>
    </row>
    <row r="42" spans="1:19" ht="15.75" thickBot="1" x14ac:dyDescent="0.3">
      <c r="A42" s="93" t="s">
        <v>1203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1">
        <f>SUM(L5:L41)</f>
        <v>17242414.32228208</v>
      </c>
      <c r="M42" s="91">
        <f t="shared" ref="M42:Q42" si="3">SUM(M5:M41)</f>
        <v>14934860.2530645</v>
      </c>
      <c r="N42" s="91">
        <f t="shared" si="3"/>
        <v>14934860.2530645</v>
      </c>
      <c r="O42" s="91">
        <f t="shared" si="3"/>
        <v>18512795.662929595</v>
      </c>
      <c r="P42" s="91">
        <f t="shared" si="3"/>
        <v>19297653.872098502</v>
      </c>
      <c r="Q42" s="91">
        <f t="shared" si="3"/>
        <v>20042294.296342935</v>
      </c>
    </row>
  </sheetData>
  <sortState xmlns:xlrd2="http://schemas.microsoft.com/office/spreadsheetml/2017/richdata2" ref="A2:Z33">
    <sortCondition ref="D2:D33"/>
  </sortState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S46"/>
  <sheetViews>
    <sheetView zoomScale="110" zoomScaleNormal="110" workbookViewId="0">
      <pane ySplit="4" topLeftCell="A30" activePane="bottomLeft" state="frozen"/>
      <selection activeCell="F10" sqref="F10"/>
      <selection pane="bottomLeft" activeCell="D2" sqref="D2"/>
    </sheetView>
  </sheetViews>
  <sheetFormatPr defaultColWidth="9.125" defaultRowHeight="15" x14ac:dyDescent="0.25"/>
  <cols>
    <col min="1" max="1" width="45.375" style="1" customWidth="1"/>
    <col min="2" max="2" width="31.375" style="1" hidden="1" customWidth="1"/>
    <col min="3" max="3" width="0" style="1" hidden="1" customWidth="1"/>
    <col min="4" max="4" width="37.125" style="1" bestFit="1" customWidth="1"/>
    <col min="5" max="11" width="9.125" style="1" hidden="1" customWidth="1"/>
    <col min="12" max="12" width="13.25" style="2" bestFit="1" customWidth="1"/>
    <col min="13" max="13" width="12.625" style="1" bestFit="1" customWidth="1"/>
    <col min="14" max="17" width="12.625" style="161" customWidth="1"/>
    <col min="18" max="18" width="9.125" style="1"/>
    <col min="19" max="19" width="12.625" style="2" bestFit="1" customWidth="1"/>
    <col min="20" max="16384" width="9.125" style="1"/>
  </cols>
  <sheetData>
    <row r="1" spans="1:19" ht="15.75" x14ac:dyDescent="0.25">
      <c r="D1" s="47" t="s">
        <v>1597</v>
      </c>
      <c r="E1" s="47"/>
      <c r="F1" s="47"/>
      <c r="G1" s="47"/>
    </row>
    <row r="2" spans="1:19" ht="15.75" x14ac:dyDescent="0.25">
      <c r="D2" s="19" t="s">
        <v>2342</v>
      </c>
      <c r="E2" s="19"/>
      <c r="F2" s="47"/>
      <c r="G2" s="47"/>
    </row>
    <row r="3" spans="1:19" ht="15.75" x14ac:dyDescent="0.25">
      <c r="D3" s="47" t="s">
        <v>1739</v>
      </c>
      <c r="E3" s="47"/>
      <c r="F3" s="47"/>
      <c r="G3" s="47"/>
    </row>
    <row r="4" spans="1:19" ht="77.25" customHeight="1" x14ac:dyDescent="0.25">
      <c r="A4" s="1" t="s">
        <v>1202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1" t="s">
        <v>1608</v>
      </c>
    </row>
    <row r="6" spans="1:19" x14ac:dyDescent="0.25">
      <c r="A6" s="3" t="s">
        <v>485</v>
      </c>
      <c r="B6" s="3" t="s">
        <v>290</v>
      </c>
      <c r="C6" s="3" t="s">
        <v>486</v>
      </c>
      <c r="D6" s="3" t="s">
        <v>487</v>
      </c>
      <c r="E6" s="3" t="s">
        <v>459</v>
      </c>
      <c r="F6" s="3" t="s">
        <v>15</v>
      </c>
      <c r="G6" s="3" t="s">
        <v>16</v>
      </c>
      <c r="H6" s="3" t="s">
        <v>460</v>
      </c>
      <c r="I6" s="4" t="s">
        <v>18</v>
      </c>
      <c r="J6" s="4">
        <v>3</v>
      </c>
      <c r="K6" s="4"/>
      <c r="L6" s="105">
        <v>72000</v>
      </c>
      <c r="M6" s="105">
        <v>6000</v>
      </c>
      <c r="N6" s="105">
        <v>6000</v>
      </c>
      <c r="O6" s="105">
        <v>7500</v>
      </c>
      <c r="P6" s="105">
        <v>7600</v>
      </c>
      <c r="Q6" s="105">
        <v>7700</v>
      </c>
    </row>
    <row r="7" spans="1:19" s="161" customFormat="1" x14ac:dyDescent="0.25">
      <c r="A7" s="165" t="s">
        <v>2212</v>
      </c>
      <c r="B7" s="162"/>
      <c r="C7" s="162"/>
      <c r="D7" s="166" t="s">
        <v>2215</v>
      </c>
      <c r="E7" s="162"/>
      <c r="F7" s="162"/>
      <c r="G7" s="162"/>
      <c r="H7" s="162"/>
      <c r="I7" s="163"/>
      <c r="J7" s="163"/>
      <c r="K7" s="163"/>
      <c r="L7" s="105"/>
      <c r="M7" s="174">
        <v>200000</v>
      </c>
      <c r="N7" s="174">
        <v>200000</v>
      </c>
      <c r="O7" s="174">
        <v>0</v>
      </c>
      <c r="P7" s="174">
        <v>0</v>
      </c>
      <c r="Q7" s="174">
        <v>0</v>
      </c>
      <c r="S7" s="2"/>
    </row>
    <row r="8" spans="1:19" s="161" customFormat="1" x14ac:dyDescent="0.25">
      <c r="A8" s="165" t="s">
        <v>2213</v>
      </c>
      <c r="B8" s="162"/>
      <c r="C8" s="162"/>
      <c r="D8" s="166" t="s">
        <v>2216</v>
      </c>
      <c r="E8" s="162"/>
      <c r="F8" s="162"/>
      <c r="G8" s="162"/>
      <c r="H8" s="162"/>
      <c r="I8" s="163"/>
      <c r="J8" s="163"/>
      <c r="K8" s="163"/>
      <c r="L8" s="105"/>
      <c r="M8" s="174">
        <v>100000</v>
      </c>
      <c r="N8" s="174">
        <v>100000</v>
      </c>
      <c r="O8" s="174">
        <v>0</v>
      </c>
      <c r="P8" s="174">
        <v>0</v>
      </c>
      <c r="Q8" s="174">
        <v>0</v>
      </c>
      <c r="S8" s="2"/>
    </row>
    <row r="9" spans="1:19" x14ac:dyDescent="0.25">
      <c r="A9" s="165" t="s">
        <v>2214</v>
      </c>
      <c r="B9" s="3"/>
      <c r="C9" s="3"/>
      <c r="D9" s="166" t="s">
        <v>2217</v>
      </c>
      <c r="E9" s="3"/>
      <c r="F9" s="3"/>
      <c r="G9" s="3"/>
      <c r="H9" s="3"/>
      <c r="I9" s="4"/>
      <c r="J9" s="4"/>
      <c r="K9" s="4"/>
      <c r="L9" s="105">
        <v>0</v>
      </c>
      <c r="M9" s="174">
        <v>200000</v>
      </c>
      <c r="N9" s="174">
        <v>200000</v>
      </c>
      <c r="O9" s="174">
        <v>0</v>
      </c>
      <c r="P9" s="174">
        <v>0</v>
      </c>
      <c r="Q9" s="174">
        <v>0</v>
      </c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4"/>
      <c r="J10" s="4"/>
      <c r="K10" s="4"/>
    </row>
    <row r="11" spans="1:19" x14ac:dyDescent="0.25">
      <c r="A11" s="18" t="s">
        <v>1609</v>
      </c>
      <c r="B11" s="18"/>
      <c r="C11" s="18"/>
      <c r="D11" s="18"/>
      <c r="E11" s="18"/>
      <c r="F11" s="18"/>
      <c r="G11" s="18"/>
      <c r="H11" s="18"/>
      <c r="L11" s="69">
        <f>SUM(L6:L9)</f>
        <v>72000</v>
      </c>
      <c r="M11" s="69">
        <f>SUM(M6:M9)</f>
        <v>506000</v>
      </c>
      <c r="N11" s="69">
        <f>SUM(N6:N9)</f>
        <v>506000</v>
      </c>
      <c r="O11" s="69">
        <f t="shared" ref="O11:Q11" si="0">SUM(O6:O9)</f>
        <v>7500</v>
      </c>
      <c r="P11" s="69">
        <f t="shared" si="0"/>
        <v>7600</v>
      </c>
      <c r="Q11" s="69">
        <f t="shared" si="0"/>
        <v>7700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</row>
    <row r="13" spans="1:19" x14ac:dyDescent="0.25">
      <c r="A13" s="3" t="s">
        <v>458</v>
      </c>
      <c r="B13" s="3" t="s">
        <v>11</v>
      </c>
      <c r="C13" s="3" t="s">
        <v>12</v>
      </c>
      <c r="D13" s="3" t="s">
        <v>157</v>
      </c>
      <c r="E13" s="3" t="s">
        <v>459</v>
      </c>
      <c r="F13" s="3" t="s">
        <v>15</v>
      </c>
      <c r="G13" s="3" t="s">
        <v>16</v>
      </c>
      <c r="H13" s="3" t="s">
        <v>460</v>
      </c>
      <c r="I13" s="4" t="s">
        <v>18</v>
      </c>
      <c r="J13" s="4">
        <v>3</v>
      </c>
      <c r="K13" s="4"/>
      <c r="L13" s="6">
        <v>1407292.4537999998</v>
      </c>
      <c r="M13" s="6">
        <v>1402216.8599999999</v>
      </c>
      <c r="N13" s="6">
        <v>1402216.8599999999</v>
      </c>
      <c r="O13" s="6">
        <f>S13</f>
        <v>1456547.6613599998</v>
      </c>
      <c r="P13" s="6">
        <f>O13*1.044</f>
        <v>1520635.7584598397</v>
      </c>
      <c r="Q13" s="6">
        <f>P13*1.045</f>
        <v>1589064.3675905324</v>
      </c>
      <c r="S13" s="147">
        <f>'[1]6111FLEET'!$E$8</f>
        <v>1456547.6613599998</v>
      </c>
    </row>
    <row r="14" spans="1:19" x14ac:dyDescent="0.25">
      <c r="A14" s="3" t="s">
        <v>467</v>
      </c>
      <c r="B14" s="3" t="s">
        <v>11</v>
      </c>
      <c r="C14" s="3" t="s">
        <v>12</v>
      </c>
      <c r="D14" s="3" t="s">
        <v>1630</v>
      </c>
      <c r="E14" s="3" t="s">
        <v>459</v>
      </c>
      <c r="F14" s="3" t="s">
        <v>15</v>
      </c>
      <c r="G14" s="3" t="s">
        <v>16</v>
      </c>
      <c r="H14" s="3" t="s">
        <v>460</v>
      </c>
      <c r="I14" s="4" t="s">
        <v>18</v>
      </c>
      <c r="J14" s="4">
        <v>3</v>
      </c>
      <c r="K14" s="4"/>
      <c r="L14" s="6">
        <v>10000</v>
      </c>
      <c r="M14" s="6">
        <v>5000</v>
      </c>
      <c r="N14" s="6">
        <v>5000</v>
      </c>
      <c r="O14" s="6">
        <v>10000</v>
      </c>
      <c r="P14" s="6">
        <f t="shared" ref="P14:P25" si="1">O14*1.044</f>
        <v>10440</v>
      </c>
      <c r="Q14" s="6">
        <f t="shared" ref="Q14:Q25" si="2">P14*1.045</f>
        <v>10909.8</v>
      </c>
      <c r="S14" s="147"/>
    </row>
    <row r="15" spans="1:19" x14ac:dyDescent="0.25">
      <c r="A15" s="3" t="s">
        <v>468</v>
      </c>
      <c r="B15" s="3" t="s">
        <v>11</v>
      </c>
      <c r="C15" s="3" t="s">
        <v>12</v>
      </c>
      <c r="D15" s="3" t="s">
        <v>153</v>
      </c>
      <c r="E15" s="3" t="s">
        <v>459</v>
      </c>
      <c r="F15" s="3" t="s">
        <v>15</v>
      </c>
      <c r="G15" s="3" t="s">
        <v>16</v>
      </c>
      <c r="H15" s="3" t="s">
        <v>460</v>
      </c>
      <c r="I15" s="4" t="s">
        <v>18</v>
      </c>
      <c r="J15" s="4">
        <v>3</v>
      </c>
      <c r="K15" s="4"/>
      <c r="L15" s="6">
        <v>117274.37114999999</v>
      </c>
      <c r="M15" s="6">
        <v>115709.22</v>
      </c>
      <c r="N15" s="6">
        <v>115709.22</v>
      </c>
      <c r="O15" s="6">
        <f t="shared" ref="O15:O25" si="3">S15</f>
        <v>121378.97178000001</v>
      </c>
      <c r="P15" s="6">
        <f t="shared" si="1"/>
        <v>126719.64653832001</v>
      </c>
      <c r="Q15" s="6">
        <f t="shared" si="2"/>
        <v>132422.0306325444</v>
      </c>
      <c r="S15" s="147">
        <f>'[1]6111FLEET'!$I$8</f>
        <v>121378.97178000001</v>
      </c>
    </row>
    <row r="16" spans="1:19" x14ac:dyDescent="0.25">
      <c r="A16" s="3" t="s">
        <v>469</v>
      </c>
      <c r="B16" s="3" t="s">
        <v>11</v>
      </c>
      <c r="C16" s="3" t="s">
        <v>12</v>
      </c>
      <c r="D16" s="3" t="s">
        <v>155</v>
      </c>
      <c r="E16" s="3" t="s">
        <v>459</v>
      </c>
      <c r="F16" s="3" t="s">
        <v>15</v>
      </c>
      <c r="G16" s="3" t="s">
        <v>16</v>
      </c>
      <c r="H16" s="3" t="s">
        <v>460</v>
      </c>
      <c r="I16" s="4" t="s">
        <v>18</v>
      </c>
      <c r="J16" s="4">
        <v>3</v>
      </c>
      <c r="K16" s="4"/>
      <c r="L16" s="6">
        <v>59554.938542399992</v>
      </c>
      <c r="M16" s="6">
        <v>59554.938542399992</v>
      </c>
      <c r="N16" s="6">
        <v>59554.938542399992</v>
      </c>
      <c r="O16" s="6">
        <f t="shared" si="3"/>
        <v>55670.98</v>
      </c>
      <c r="P16" s="6">
        <f t="shared" si="1"/>
        <v>58120.503120000008</v>
      </c>
      <c r="Q16" s="6">
        <f t="shared" si="2"/>
        <v>60735.925760400001</v>
      </c>
      <c r="S16" s="147">
        <f>'[2]6111FLEET'!$J$8</f>
        <v>55670.98</v>
      </c>
    </row>
    <row r="17" spans="1:19" x14ac:dyDescent="0.25">
      <c r="A17" s="3" t="s">
        <v>465</v>
      </c>
      <c r="B17" s="3" t="s">
        <v>11</v>
      </c>
      <c r="C17" s="3" t="s">
        <v>12</v>
      </c>
      <c r="D17" s="3" t="s">
        <v>41</v>
      </c>
      <c r="E17" s="3" t="s">
        <v>459</v>
      </c>
      <c r="F17" s="3" t="s">
        <v>15</v>
      </c>
      <c r="G17" s="3" t="s">
        <v>16</v>
      </c>
      <c r="H17" s="3" t="s">
        <v>460</v>
      </c>
      <c r="I17" s="4" t="s">
        <v>18</v>
      </c>
      <c r="J17" s="4">
        <v>3</v>
      </c>
      <c r="K17" s="4"/>
      <c r="L17" s="6">
        <v>309604.339836</v>
      </c>
      <c r="M17" s="6">
        <v>302889.89040000003</v>
      </c>
      <c r="N17" s="6">
        <v>302889.89040000003</v>
      </c>
      <c r="O17" s="6">
        <f t="shared" si="3"/>
        <v>320440.4854992</v>
      </c>
      <c r="P17" s="6">
        <f t="shared" si="1"/>
        <v>334539.8668611648</v>
      </c>
      <c r="Q17" s="6">
        <f t="shared" si="2"/>
        <v>349594.16086991719</v>
      </c>
      <c r="S17" s="147">
        <f>'[1]6111FLEET'!$K$8</f>
        <v>320440.4854992</v>
      </c>
    </row>
    <row r="18" spans="1:19" x14ac:dyDescent="0.25">
      <c r="A18" s="3" t="s">
        <v>464</v>
      </c>
      <c r="B18" s="3" t="s">
        <v>11</v>
      </c>
      <c r="C18" s="3" t="s">
        <v>12</v>
      </c>
      <c r="D18" s="3" t="s">
        <v>36</v>
      </c>
      <c r="E18" s="3" t="s">
        <v>459</v>
      </c>
      <c r="F18" s="3" t="s">
        <v>15</v>
      </c>
      <c r="G18" s="3" t="s">
        <v>16</v>
      </c>
      <c r="H18" s="3" t="s">
        <v>460</v>
      </c>
      <c r="I18" s="4" t="s">
        <v>18</v>
      </c>
      <c r="J18" s="4">
        <v>3</v>
      </c>
      <c r="K18" s="4"/>
      <c r="L18" s="6">
        <v>156702.24</v>
      </c>
      <c r="M18" s="6">
        <v>156702.24</v>
      </c>
      <c r="N18" s="6">
        <v>156702.24</v>
      </c>
      <c r="O18" s="6">
        <f t="shared" si="3"/>
        <v>156702.24</v>
      </c>
      <c r="P18" s="6">
        <f t="shared" si="1"/>
        <v>163597.13855999999</v>
      </c>
      <c r="Q18" s="6">
        <f t="shared" si="2"/>
        <v>170959.00979519999</v>
      </c>
      <c r="S18" s="147">
        <f>'[1]6111FLEET'!$L$8</f>
        <v>156702.24</v>
      </c>
    </row>
    <row r="19" spans="1:19" x14ac:dyDescent="0.25">
      <c r="A19" s="3" t="s">
        <v>461</v>
      </c>
      <c r="B19" s="3" t="s">
        <v>11</v>
      </c>
      <c r="C19" s="3" t="s">
        <v>12</v>
      </c>
      <c r="D19" s="3" t="s">
        <v>47</v>
      </c>
      <c r="E19" s="3" t="s">
        <v>459</v>
      </c>
      <c r="F19" s="3" t="s">
        <v>15</v>
      </c>
      <c r="G19" s="3" t="s">
        <v>16</v>
      </c>
      <c r="H19" s="3" t="s">
        <v>460</v>
      </c>
      <c r="I19" s="4" t="s">
        <v>18</v>
      </c>
      <c r="J19" s="4">
        <v>3</v>
      </c>
      <c r="K19" s="4"/>
      <c r="L19" s="6">
        <v>176576.16</v>
      </c>
      <c r="M19" s="6">
        <v>181211.25</v>
      </c>
      <c r="N19" s="6">
        <v>181211.25</v>
      </c>
      <c r="O19" s="6">
        <f t="shared" si="3"/>
        <v>191711.33771999998</v>
      </c>
      <c r="P19" s="6">
        <f t="shared" si="1"/>
        <v>200146.63657967999</v>
      </c>
      <c r="Q19" s="6">
        <f t="shared" si="2"/>
        <v>209153.23522576559</v>
      </c>
      <c r="S19" s="147">
        <f>'[1]6111FLEET'!$M$8</f>
        <v>191711.33771999998</v>
      </c>
    </row>
    <row r="20" spans="1:19" x14ac:dyDescent="0.25">
      <c r="A20" s="3" t="s">
        <v>495</v>
      </c>
      <c r="B20" s="3" t="s">
        <v>11</v>
      </c>
      <c r="C20" s="3" t="s">
        <v>12</v>
      </c>
      <c r="D20" s="3" t="s">
        <v>45</v>
      </c>
      <c r="E20" s="3" t="s">
        <v>459</v>
      </c>
      <c r="F20" s="3" t="s">
        <v>37</v>
      </c>
      <c r="G20" s="3" t="s">
        <v>16</v>
      </c>
      <c r="H20" s="3" t="s">
        <v>460</v>
      </c>
      <c r="I20" s="4" t="s">
        <v>38</v>
      </c>
      <c r="J20" s="4">
        <v>3</v>
      </c>
      <c r="K20" s="4"/>
      <c r="L20" s="6">
        <v>18436.560000000001</v>
      </c>
      <c r="M20" s="6">
        <v>18907.71</v>
      </c>
      <c r="N20" s="6">
        <v>18907.71</v>
      </c>
      <c r="O20" s="6">
        <f t="shared" si="3"/>
        <v>19998.933239999998</v>
      </c>
      <c r="P20" s="6">
        <f t="shared" si="1"/>
        <v>20878.88630256</v>
      </c>
      <c r="Q20" s="6">
        <f t="shared" si="2"/>
        <v>21818.4361861752</v>
      </c>
      <c r="S20" s="147">
        <f>'[1]6111FLEET'!$N$8</f>
        <v>19998.933239999998</v>
      </c>
    </row>
    <row r="21" spans="1:19" x14ac:dyDescent="0.25">
      <c r="A21" s="3" t="s">
        <v>470</v>
      </c>
      <c r="B21" s="3" t="s">
        <v>11</v>
      </c>
      <c r="C21" s="3" t="s">
        <v>12</v>
      </c>
      <c r="D21" s="3" t="s">
        <v>156</v>
      </c>
      <c r="E21" s="3" t="s">
        <v>459</v>
      </c>
      <c r="F21" s="3" t="s">
        <v>15</v>
      </c>
      <c r="G21" s="3" t="s">
        <v>16</v>
      </c>
      <c r="H21" s="3" t="s">
        <v>460</v>
      </c>
      <c r="I21" s="4" t="s">
        <v>18</v>
      </c>
      <c r="J21" s="4">
        <v>3</v>
      </c>
      <c r="K21" s="4"/>
      <c r="L21" s="6">
        <v>12141.251879999998</v>
      </c>
      <c r="M21" s="6">
        <v>11574.119999999999</v>
      </c>
      <c r="N21" s="6">
        <v>11574.119999999999</v>
      </c>
      <c r="O21" s="6">
        <f t="shared" si="3"/>
        <v>12141.251879999998</v>
      </c>
      <c r="P21" s="6">
        <f t="shared" si="1"/>
        <v>12675.466962719998</v>
      </c>
      <c r="Q21" s="6">
        <f t="shared" si="2"/>
        <v>13245.862976042397</v>
      </c>
      <c r="S21" s="147">
        <f>'[1]6111FLEET'!$P$8</f>
        <v>12141.251879999998</v>
      </c>
    </row>
    <row r="22" spans="1:19" x14ac:dyDescent="0.25">
      <c r="A22" s="3" t="s">
        <v>462</v>
      </c>
      <c r="B22" s="3" t="s">
        <v>11</v>
      </c>
      <c r="C22" s="3" t="s">
        <v>12</v>
      </c>
      <c r="D22" s="3" t="s">
        <v>151</v>
      </c>
      <c r="E22" s="3" t="s">
        <v>459</v>
      </c>
      <c r="F22" s="3" t="s">
        <v>15</v>
      </c>
      <c r="G22" s="3" t="s">
        <v>16</v>
      </c>
      <c r="H22" s="3" t="s">
        <v>460</v>
      </c>
      <c r="I22" s="4" t="s">
        <v>18</v>
      </c>
      <c r="J22" s="4">
        <v>3</v>
      </c>
      <c r="K22" s="4"/>
      <c r="L22" s="6">
        <v>475.20000000000005</v>
      </c>
      <c r="M22" s="6">
        <v>494.4</v>
      </c>
      <c r="N22" s="6">
        <v>494.4</v>
      </c>
      <c r="O22" s="6">
        <f t="shared" si="3"/>
        <v>494.40000000000003</v>
      </c>
      <c r="P22" s="6">
        <f t="shared" si="1"/>
        <v>516.1536000000001</v>
      </c>
      <c r="Q22" s="6">
        <f t="shared" si="2"/>
        <v>539.38051200000007</v>
      </c>
      <c r="S22" s="147">
        <f>'[1]6111FLEET'!$R$8</f>
        <v>494.40000000000003</v>
      </c>
    </row>
    <row r="23" spans="1:19" x14ac:dyDescent="0.25">
      <c r="A23" s="3" t="s">
        <v>466</v>
      </c>
      <c r="B23" s="3" t="s">
        <v>11</v>
      </c>
      <c r="C23" s="3" t="s">
        <v>12</v>
      </c>
      <c r="D23" s="3" t="s">
        <v>43</v>
      </c>
      <c r="E23" s="3" t="s">
        <v>459</v>
      </c>
      <c r="F23" s="3" t="s">
        <v>15</v>
      </c>
      <c r="G23" s="3" t="s">
        <v>16</v>
      </c>
      <c r="H23" s="3" t="s">
        <v>460</v>
      </c>
      <c r="I23" s="4" t="s">
        <v>18</v>
      </c>
      <c r="J23" s="4">
        <v>3</v>
      </c>
      <c r="K23" s="4"/>
      <c r="L23" s="6">
        <v>5989.44</v>
      </c>
      <c r="M23" s="6">
        <v>9531.0924000000014</v>
      </c>
      <c r="N23" s="6">
        <v>9531.0924000000014</v>
      </c>
      <c r="O23" s="6">
        <f t="shared" si="3"/>
        <v>5989.44</v>
      </c>
      <c r="P23" s="6">
        <f t="shared" si="1"/>
        <v>6252.9753599999995</v>
      </c>
      <c r="Q23" s="6">
        <f t="shared" si="2"/>
        <v>6534.3592511999987</v>
      </c>
      <c r="S23" s="147">
        <f>'[1]6111FLEET'!$T$8</f>
        <v>5989.44</v>
      </c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6"/>
      <c r="M24" s="6"/>
      <c r="N24" s="6"/>
      <c r="O24" s="6"/>
      <c r="P24" s="6"/>
      <c r="Q24" s="6"/>
      <c r="S24" s="147"/>
    </row>
    <row r="25" spans="1:19" x14ac:dyDescent="0.25">
      <c r="A25" s="3" t="s">
        <v>463</v>
      </c>
      <c r="B25" s="3" t="s">
        <v>11</v>
      </c>
      <c r="C25" s="3" t="s">
        <v>12</v>
      </c>
      <c r="D25" s="3" t="s">
        <v>30</v>
      </c>
      <c r="E25" s="3" t="s">
        <v>459</v>
      </c>
      <c r="F25" s="3" t="s">
        <v>15</v>
      </c>
      <c r="G25" s="3" t="s">
        <v>16</v>
      </c>
      <c r="H25" s="3" t="s">
        <v>460</v>
      </c>
      <c r="I25" s="4" t="s">
        <v>18</v>
      </c>
      <c r="J25" s="4">
        <v>3</v>
      </c>
      <c r="K25" s="4"/>
      <c r="L25" s="6">
        <v>14072.924538000001</v>
      </c>
      <c r="M25" s="6">
        <v>15725.903200000001</v>
      </c>
      <c r="N25" s="6">
        <v>15725.903200000001</v>
      </c>
      <c r="O25" s="6">
        <f t="shared" si="3"/>
        <v>14565.4766136</v>
      </c>
      <c r="P25" s="6">
        <f t="shared" si="1"/>
        <v>15206.3575845984</v>
      </c>
      <c r="Q25" s="6">
        <f t="shared" si="2"/>
        <v>15890.643675905327</v>
      </c>
      <c r="S25" s="147">
        <f>'[1]6111FLEET'!$Q$8</f>
        <v>14565.4766136</v>
      </c>
    </row>
    <row r="26" spans="1:19" s="35" customFormat="1" hidden="1" x14ac:dyDescent="0.25">
      <c r="A26" s="31" t="s">
        <v>489</v>
      </c>
      <c r="B26" s="31" t="s">
        <v>11</v>
      </c>
      <c r="C26" s="31" t="s">
        <v>12</v>
      </c>
      <c r="D26" s="31" t="s">
        <v>1639</v>
      </c>
      <c r="E26" s="31" t="s">
        <v>459</v>
      </c>
      <c r="F26" s="31" t="s">
        <v>15</v>
      </c>
      <c r="G26" s="31" t="s">
        <v>16</v>
      </c>
      <c r="H26" s="31" t="s">
        <v>460</v>
      </c>
      <c r="I26" s="32" t="s">
        <v>18</v>
      </c>
      <c r="J26" s="32">
        <v>3</v>
      </c>
      <c r="K26" s="32"/>
      <c r="L26" s="37"/>
      <c r="N26" s="171"/>
      <c r="O26" s="171"/>
      <c r="P26" s="171"/>
      <c r="Q26" s="171"/>
      <c r="S26" s="37"/>
    </row>
    <row r="27" spans="1:19" x14ac:dyDescent="0.25">
      <c r="A27" s="3" t="s">
        <v>478</v>
      </c>
      <c r="B27" s="3" t="s">
        <v>11</v>
      </c>
      <c r="C27" s="3" t="s">
        <v>12</v>
      </c>
      <c r="D27" s="3" t="s">
        <v>20</v>
      </c>
      <c r="E27" s="3" t="s">
        <v>459</v>
      </c>
      <c r="F27" s="3" t="s">
        <v>15</v>
      </c>
      <c r="G27" s="3" t="s">
        <v>16</v>
      </c>
      <c r="H27" s="3" t="s">
        <v>460</v>
      </c>
      <c r="I27" s="4" t="s">
        <v>18</v>
      </c>
      <c r="J27" s="4">
        <v>3</v>
      </c>
      <c r="K27" s="4"/>
      <c r="L27" s="38">
        <v>3000</v>
      </c>
      <c r="M27" s="38">
        <v>2000</v>
      </c>
      <c r="N27" s="38">
        <v>2000</v>
      </c>
      <c r="O27" s="38">
        <v>2000</v>
      </c>
      <c r="P27" s="38">
        <v>2000</v>
      </c>
      <c r="Q27" s="38">
        <v>2000</v>
      </c>
    </row>
    <row r="28" spans="1:19" hidden="1" x14ac:dyDescent="0.25">
      <c r="A28" s="3" t="s">
        <v>480</v>
      </c>
      <c r="B28" s="3" t="s">
        <v>11</v>
      </c>
      <c r="C28" s="3" t="s">
        <v>12</v>
      </c>
      <c r="D28" s="3" t="s">
        <v>24</v>
      </c>
      <c r="E28" s="3" t="s">
        <v>459</v>
      </c>
      <c r="F28" s="3" t="s">
        <v>15</v>
      </c>
      <c r="G28" s="3" t="s">
        <v>16</v>
      </c>
      <c r="H28" s="3" t="s">
        <v>460</v>
      </c>
      <c r="I28" s="4" t="s">
        <v>18</v>
      </c>
      <c r="J28" s="4">
        <v>3</v>
      </c>
      <c r="K28" s="4"/>
      <c r="L28" s="38"/>
      <c r="M28" s="38"/>
      <c r="N28" s="38"/>
      <c r="O28" s="38"/>
      <c r="P28" s="38"/>
      <c r="Q28" s="38"/>
    </row>
    <row r="29" spans="1:19" x14ac:dyDescent="0.25">
      <c r="A29" s="3" t="s">
        <v>475</v>
      </c>
      <c r="B29" s="3" t="s">
        <v>11</v>
      </c>
      <c r="C29" s="3" t="s">
        <v>12</v>
      </c>
      <c r="D29" s="3" t="s">
        <v>28</v>
      </c>
      <c r="E29" s="3" t="s">
        <v>459</v>
      </c>
      <c r="F29" s="3" t="s">
        <v>15</v>
      </c>
      <c r="G29" s="3" t="s">
        <v>16</v>
      </c>
      <c r="H29" s="3" t="s">
        <v>460</v>
      </c>
      <c r="I29" s="4" t="s">
        <v>18</v>
      </c>
      <c r="J29" s="4">
        <v>3</v>
      </c>
      <c r="K29" s="4"/>
      <c r="L29" s="38">
        <v>20000</v>
      </c>
      <c r="M29" s="38">
        <v>40000</v>
      </c>
      <c r="N29" s="38">
        <v>40000</v>
      </c>
      <c r="O29" s="38">
        <v>40000</v>
      </c>
      <c r="P29" s="38">
        <v>40000</v>
      </c>
      <c r="Q29" s="38">
        <v>40000</v>
      </c>
    </row>
    <row r="30" spans="1:19" x14ac:dyDescent="0.25">
      <c r="A30" s="3" t="s">
        <v>477</v>
      </c>
      <c r="B30" s="3" t="s">
        <v>11</v>
      </c>
      <c r="C30" s="3" t="s">
        <v>12</v>
      </c>
      <c r="D30" s="3" t="s">
        <v>13</v>
      </c>
      <c r="E30" s="3" t="s">
        <v>459</v>
      </c>
      <c r="F30" s="3" t="s">
        <v>15</v>
      </c>
      <c r="G30" s="3" t="s">
        <v>16</v>
      </c>
      <c r="H30" s="3" t="s">
        <v>460</v>
      </c>
      <c r="I30" s="4" t="s">
        <v>18</v>
      </c>
      <c r="J30" s="4">
        <v>3</v>
      </c>
      <c r="K30" s="4"/>
      <c r="L30" s="38">
        <v>15000</v>
      </c>
      <c r="M30" s="38">
        <v>8000</v>
      </c>
      <c r="N30" s="38">
        <v>8000</v>
      </c>
      <c r="O30" s="38">
        <v>8000</v>
      </c>
      <c r="P30" s="38">
        <v>8000</v>
      </c>
      <c r="Q30" s="38">
        <v>8000</v>
      </c>
    </row>
    <row r="31" spans="1:19" hidden="1" x14ac:dyDescent="0.25">
      <c r="A31" s="3" t="s">
        <v>476</v>
      </c>
      <c r="B31" s="3" t="s">
        <v>11</v>
      </c>
      <c r="C31" s="3" t="s">
        <v>12</v>
      </c>
      <c r="D31" s="3" t="s">
        <v>32</v>
      </c>
      <c r="E31" s="3" t="s">
        <v>459</v>
      </c>
      <c r="F31" s="3" t="s">
        <v>15</v>
      </c>
      <c r="G31" s="3" t="s">
        <v>16</v>
      </c>
      <c r="H31" s="3" t="s">
        <v>460</v>
      </c>
      <c r="I31" s="4" t="s">
        <v>18</v>
      </c>
      <c r="J31" s="4">
        <v>3</v>
      </c>
      <c r="K31" s="4"/>
      <c r="L31" s="38">
        <v>0</v>
      </c>
      <c r="M31" s="38"/>
      <c r="N31" s="38"/>
      <c r="O31" s="38"/>
      <c r="P31" s="38"/>
      <c r="Q31" s="38"/>
    </row>
    <row r="32" spans="1:19" hidden="1" x14ac:dyDescent="0.25">
      <c r="A32" s="3" t="s">
        <v>474</v>
      </c>
      <c r="B32" s="3" t="s">
        <v>11</v>
      </c>
      <c r="C32" s="3" t="s">
        <v>12</v>
      </c>
      <c r="D32" s="3" t="s">
        <v>26</v>
      </c>
      <c r="E32" s="3" t="s">
        <v>459</v>
      </c>
      <c r="F32" s="3" t="s">
        <v>15</v>
      </c>
      <c r="G32" s="3" t="s">
        <v>16</v>
      </c>
      <c r="H32" s="3" t="s">
        <v>460</v>
      </c>
      <c r="I32" s="4" t="s">
        <v>18</v>
      </c>
      <c r="J32" s="4">
        <v>3</v>
      </c>
      <c r="K32" s="4"/>
      <c r="L32" s="38">
        <v>0</v>
      </c>
      <c r="M32" s="38"/>
      <c r="N32" s="38"/>
      <c r="O32" s="38"/>
      <c r="P32" s="38"/>
      <c r="Q32" s="38"/>
    </row>
    <row r="33" spans="1:19" x14ac:dyDescent="0.25">
      <c r="A33" s="3" t="s">
        <v>479</v>
      </c>
      <c r="B33" s="3" t="s">
        <v>11</v>
      </c>
      <c r="C33" s="3" t="s">
        <v>12</v>
      </c>
      <c r="D33" s="3" t="s">
        <v>22</v>
      </c>
      <c r="E33" s="3" t="s">
        <v>459</v>
      </c>
      <c r="F33" s="3" t="s">
        <v>15</v>
      </c>
      <c r="G33" s="3" t="s">
        <v>16</v>
      </c>
      <c r="H33" s="3" t="s">
        <v>460</v>
      </c>
      <c r="I33" s="4" t="s">
        <v>18</v>
      </c>
      <c r="J33" s="4">
        <v>3</v>
      </c>
      <c r="K33" s="4"/>
      <c r="L33" s="38">
        <v>7000</v>
      </c>
      <c r="M33" s="38">
        <v>7000</v>
      </c>
      <c r="N33" s="38">
        <v>7000</v>
      </c>
      <c r="O33" s="38">
        <v>7000</v>
      </c>
      <c r="P33" s="38">
        <v>7000</v>
      </c>
      <c r="Q33" s="38">
        <v>7000</v>
      </c>
    </row>
    <row r="34" spans="1:19" x14ac:dyDescent="0.25">
      <c r="A34" s="3" t="s">
        <v>473</v>
      </c>
      <c r="B34" s="3" t="s">
        <v>11</v>
      </c>
      <c r="C34" s="3" t="s">
        <v>12</v>
      </c>
      <c r="D34" s="3" t="s">
        <v>1662</v>
      </c>
      <c r="E34" s="3" t="s">
        <v>459</v>
      </c>
      <c r="F34" s="3" t="s">
        <v>15</v>
      </c>
      <c r="G34" s="3" t="s">
        <v>16</v>
      </c>
      <c r="H34" s="3" t="s">
        <v>460</v>
      </c>
      <c r="I34" s="4" t="s">
        <v>18</v>
      </c>
      <c r="J34" s="4">
        <v>3</v>
      </c>
      <c r="K34" s="4"/>
      <c r="L34" s="38">
        <v>3500000</v>
      </c>
      <c r="M34" s="38">
        <v>3750000</v>
      </c>
      <c r="N34" s="38">
        <v>3750000</v>
      </c>
      <c r="O34" s="38">
        <f>4500000-250000</f>
        <v>4250000</v>
      </c>
      <c r="P34" s="38">
        <v>4300000</v>
      </c>
      <c r="Q34" s="38">
        <v>4400000</v>
      </c>
    </row>
    <row r="35" spans="1:19" x14ac:dyDescent="0.25">
      <c r="A35" s="3" t="s">
        <v>471</v>
      </c>
      <c r="B35" s="3" t="s">
        <v>11</v>
      </c>
      <c r="C35" s="3" t="s">
        <v>12</v>
      </c>
      <c r="D35" s="3" t="s">
        <v>472</v>
      </c>
      <c r="E35" s="3" t="s">
        <v>459</v>
      </c>
      <c r="F35" s="3" t="s">
        <v>15</v>
      </c>
      <c r="G35" s="3" t="s">
        <v>16</v>
      </c>
      <c r="H35" s="3" t="s">
        <v>460</v>
      </c>
      <c r="I35" s="4" t="s">
        <v>18</v>
      </c>
      <c r="J35" s="4">
        <v>3</v>
      </c>
      <c r="K35" s="4"/>
      <c r="L35" s="38">
        <v>250000</v>
      </c>
      <c r="M35" s="38">
        <v>200000</v>
      </c>
      <c r="N35" s="38">
        <v>200000</v>
      </c>
      <c r="O35" s="38">
        <v>350000</v>
      </c>
      <c r="P35" s="38">
        <v>350000</v>
      </c>
      <c r="Q35" s="38">
        <v>350000</v>
      </c>
    </row>
    <row r="36" spans="1:19" x14ac:dyDescent="0.25">
      <c r="A36" s="3"/>
      <c r="B36" s="3"/>
      <c r="C36" s="3"/>
      <c r="D36" s="3"/>
      <c r="E36" s="3"/>
      <c r="F36" s="3"/>
      <c r="G36" s="3"/>
      <c r="H36" s="3"/>
      <c r="I36" s="4"/>
      <c r="J36" s="4"/>
      <c r="K36" s="4"/>
    </row>
    <row r="37" spans="1:19" hidden="1" x14ac:dyDescent="0.25">
      <c r="A37" s="3" t="s">
        <v>483</v>
      </c>
      <c r="B37" s="3" t="s">
        <v>482</v>
      </c>
      <c r="C37" s="3" t="s">
        <v>12</v>
      </c>
      <c r="D37" s="3" t="s">
        <v>348</v>
      </c>
      <c r="E37" s="3" t="s">
        <v>459</v>
      </c>
      <c r="F37" s="3" t="s">
        <v>37</v>
      </c>
      <c r="G37" s="3" t="s">
        <v>16</v>
      </c>
      <c r="H37" s="3" t="s">
        <v>460</v>
      </c>
      <c r="I37" s="4" t="s">
        <v>38</v>
      </c>
      <c r="J37" s="4">
        <v>1</v>
      </c>
      <c r="K37" s="4"/>
    </row>
    <row r="38" spans="1:19" x14ac:dyDescent="0.25">
      <c r="A38" s="3" t="s">
        <v>490</v>
      </c>
      <c r="B38" s="3" t="s">
        <v>491</v>
      </c>
      <c r="C38" s="3" t="s">
        <v>347</v>
      </c>
      <c r="D38" s="3" t="s">
        <v>348</v>
      </c>
      <c r="E38" s="3" t="s">
        <v>459</v>
      </c>
      <c r="F38" s="3" t="s">
        <v>15</v>
      </c>
      <c r="G38" s="3" t="s">
        <v>16</v>
      </c>
      <c r="H38" s="3" t="s">
        <v>460</v>
      </c>
      <c r="I38" s="4" t="s">
        <v>18</v>
      </c>
      <c r="J38" s="4">
        <v>3</v>
      </c>
      <c r="K38" s="4"/>
      <c r="L38" s="38">
        <v>3000000</v>
      </c>
      <c r="M38" s="38">
        <v>3000000</v>
      </c>
      <c r="N38" s="38">
        <v>3000000</v>
      </c>
      <c r="O38" s="38">
        <v>3200000</v>
      </c>
      <c r="P38" s="38">
        <v>3300000</v>
      </c>
      <c r="Q38" s="38">
        <v>3400000</v>
      </c>
    </row>
    <row r="39" spans="1:19" hidden="1" x14ac:dyDescent="0.25">
      <c r="A39" s="3" t="s">
        <v>481</v>
      </c>
      <c r="B39" s="3" t="s">
        <v>482</v>
      </c>
      <c r="C39" s="3" t="s">
        <v>12</v>
      </c>
      <c r="D39" s="3" t="s">
        <v>348</v>
      </c>
      <c r="E39" s="3" t="s">
        <v>459</v>
      </c>
      <c r="F39" s="3" t="s">
        <v>37</v>
      </c>
      <c r="G39" s="3" t="s">
        <v>16</v>
      </c>
      <c r="H39" s="3" t="s">
        <v>460</v>
      </c>
      <c r="I39" s="4" t="s">
        <v>38</v>
      </c>
      <c r="J39" s="4">
        <v>1</v>
      </c>
      <c r="K39" s="4"/>
      <c r="L39" s="38"/>
      <c r="M39" s="38"/>
      <c r="N39" s="38"/>
      <c r="O39" s="38"/>
      <c r="P39" s="38"/>
      <c r="Q39" s="38"/>
    </row>
    <row r="40" spans="1:19" x14ac:dyDescent="0.25">
      <c r="A40" s="3" t="s">
        <v>492</v>
      </c>
      <c r="B40" s="3" t="s">
        <v>493</v>
      </c>
      <c r="C40" s="3" t="s">
        <v>347</v>
      </c>
      <c r="D40" s="3" t="s">
        <v>494</v>
      </c>
      <c r="E40" s="3" t="s">
        <v>459</v>
      </c>
      <c r="F40" s="3" t="s">
        <v>15</v>
      </c>
      <c r="G40" s="3" t="s">
        <v>16</v>
      </c>
      <c r="H40" s="3" t="s">
        <v>460</v>
      </c>
      <c r="I40" s="4" t="s">
        <v>18</v>
      </c>
      <c r="J40" s="4">
        <v>3</v>
      </c>
      <c r="K40" s="4"/>
      <c r="L40" s="38">
        <v>1500000</v>
      </c>
      <c r="M40" s="43">
        <v>1000000</v>
      </c>
      <c r="N40" s="43">
        <v>1000000</v>
      </c>
      <c r="O40" s="43">
        <v>1200000</v>
      </c>
      <c r="P40" s="43">
        <v>1300000</v>
      </c>
      <c r="Q40" s="43">
        <v>1400000</v>
      </c>
    </row>
    <row r="41" spans="1:19" x14ac:dyDescent="0.25">
      <c r="A41" s="3"/>
      <c r="B41" s="3"/>
      <c r="C41" s="3"/>
      <c r="D41" s="3"/>
      <c r="E41" s="3"/>
      <c r="F41" s="3"/>
      <c r="G41" s="3"/>
      <c r="H41" s="3"/>
      <c r="I41" s="4"/>
      <c r="J41" s="4"/>
      <c r="K41" s="4"/>
      <c r="M41" s="35"/>
      <c r="N41" s="171"/>
      <c r="O41" s="171"/>
      <c r="P41" s="171"/>
      <c r="Q41" s="171"/>
    </row>
    <row r="42" spans="1:19" s="151" customFormat="1" x14ac:dyDescent="0.25">
      <c r="A42" s="148" t="s">
        <v>1175</v>
      </c>
      <c r="B42" s="148" t="s">
        <v>488</v>
      </c>
      <c r="C42" s="148" t="s">
        <v>12</v>
      </c>
      <c r="D42" s="148" t="s">
        <v>1663</v>
      </c>
      <c r="E42" s="148" t="s">
        <v>459</v>
      </c>
      <c r="F42" s="148" t="s">
        <v>15</v>
      </c>
      <c r="G42" s="148" t="s">
        <v>16</v>
      </c>
      <c r="H42" s="148" t="s">
        <v>460</v>
      </c>
      <c r="I42" s="149" t="s">
        <v>18</v>
      </c>
      <c r="J42" s="149">
        <v>3</v>
      </c>
      <c r="K42" s="149"/>
      <c r="L42" s="150">
        <v>6000000</v>
      </c>
      <c r="M42" s="105">
        <v>5100000</v>
      </c>
      <c r="N42" s="105">
        <v>5100000</v>
      </c>
      <c r="O42" s="105">
        <v>7500000</v>
      </c>
      <c r="P42" s="105">
        <v>7500000</v>
      </c>
      <c r="Q42" s="105">
        <v>7500000</v>
      </c>
      <c r="S42" s="152"/>
    </row>
    <row r="43" spans="1:19" s="151" customFormat="1" x14ac:dyDescent="0.25">
      <c r="A43" s="148" t="s">
        <v>1176</v>
      </c>
      <c r="B43" s="148" t="s">
        <v>484</v>
      </c>
      <c r="C43" s="148" t="s">
        <v>12</v>
      </c>
      <c r="D43" s="148" t="s">
        <v>1664</v>
      </c>
      <c r="E43" s="148" t="s">
        <v>459</v>
      </c>
      <c r="F43" s="148" t="s">
        <v>15</v>
      </c>
      <c r="G43" s="148" t="s">
        <v>16</v>
      </c>
      <c r="H43" s="148" t="s">
        <v>460</v>
      </c>
      <c r="I43" s="149" t="s">
        <v>18</v>
      </c>
      <c r="J43" s="149">
        <v>3</v>
      </c>
      <c r="K43" s="149"/>
      <c r="L43" s="150">
        <v>3000000</v>
      </c>
      <c r="M43" s="105">
        <v>2000000</v>
      </c>
      <c r="N43" s="105">
        <v>2000000</v>
      </c>
      <c r="O43" s="105">
        <v>2500000</v>
      </c>
      <c r="P43" s="105">
        <v>2500000</v>
      </c>
      <c r="Q43" s="105">
        <v>2500000</v>
      </c>
      <c r="S43" s="152"/>
    </row>
    <row r="44" spans="1:19" x14ac:dyDescent="0.25">
      <c r="A44" s="3"/>
      <c r="B44" s="3"/>
      <c r="C44" s="3"/>
      <c r="D44" s="3"/>
      <c r="E44" s="3"/>
      <c r="F44" s="3"/>
      <c r="G44" s="3"/>
      <c r="H44" s="3"/>
      <c r="I44" s="4"/>
      <c r="J44" s="4"/>
      <c r="K44" s="4"/>
    </row>
    <row r="46" spans="1:19" ht="15.75" thickBot="1" x14ac:dyDescent="0.3">
      <c r="A46" s="16" t="s">
        <v>1203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41">
        <f>SUM(L13:L45)</f>
        <v>19583119.8797464</v>
      </c>
      <c r="M46" s="41">
        <f>SUM(M13:M45)</f>
        <v>17386517.6245424</v>
      </c>
      <c r="N46" s="41">
        <f>SUM(N13:N45)</f>
        <v>17386517.6245424</v>
      </c>
      <c r="O46" s="41">
        <f t="shared" ref="O46:Q46" si="4">SUM(O13:O45)</f>
        <v>21422641.1780928</v>
      </c>
      <c r="P46" s="41">
        <f t="shared" si="4"/>
        <v>21776729.389928885</v>
      </c>
      <c r="Q46" s="41">
        <f t="shared" si="4"/>
        <v>22187867.212475684</v>
      </c>
    </row>
  </sheetData>
  <sortState xmlns:xlrd2="http://schemas.microsoft.com/office/spreadsheetml/2017/richdata2" ref="A2:AA33">
    <sortCondition ref="D2:D33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S45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3.375" style="35" bestFit="1" customWidth="1"/>
    <col min="2" max="2" width="25.875" style="35" hidden="1" customWidth="1"/>
    <col min="3" max="3" width="36" style="35" hidden="1" customWidth="1"/>
    <col min="4" max="4" width="39.125" style="35" customWidth="1"/>
    <col min="5" max="5" width="17.625" style="35" hidden="1" customWidth="1"/>
    <col min="6" max="10" width="9.125" style="35" hidden="1" customWidth="1"/>
    <col min="11" max="11" width="11.375" style="35" hidden="1" customWidth="1"/>
    <col min="12" max="12" width="13.75" style="37" bestFit="1" customWidth="1"/>
    <col min="13" max="13" width="12.125" style="35" customWidth="1"/>
    <col min="14" max="17" width="12.1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528</v>
      </c>
      <c r="B3" s="72"/>
      <c r="C3" s="72"/>
      <c r="D3" s="72"/>
    </row>
    <row r="4" spans="1:19" ht="65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557</v>
      </c>
      <c r="B5" s="31" t="s">
        <v>11</v>
      </c>
      <c r="C5" s="31" t="s">
        <v>12</v>
      </c>
      <c r="D5" s="31" t="s">
        <v>157</v>
      </c>
      <c r="E5" s="31" t="s">
        <v>527</v>
      </c>
      <c r="F5" s="31" t="s">
        <v>15</v>
      </c>
      <c r="G5" s="31" t="s">
        <v>16</v>
      </c>
      <c r="H5" s="31" t="s">
        <v>528</v>
      </c>
      <c r="I5" s="32" t="s">
        <v>18</v>
      </c>
      <c r="J5" s="32">
        <v>3</v>
      </c>
      <c r="K5" s="32"/>
      <c r="L5" s="34">
        <v>2045615.5834799998</v>
      </c>
      <c r="M5" s="34">
        <v>1894152.0899999999</v>
      </c>
      <c r="N5" s="34">
        <v>1894152.0899999999</v>
      </c>
      <c r="O5" s="34">
        <f>S5</f>
        <v>2130464.8715999997</v>
      </c>
      <c r="P5" s="34">
        <f>O5*1.044</f>
        <v>2224205.3259504</v>
      </c>
      <c r="Q5" s="34">
        <f>P5*1.045</f>
        <v>2324294.5656181676</v>
      </c>
      <c r="S5" s="145">
        <f>'[1]6114ASSETS'!$E$10</f>
        <v>2130464.8715999997</v>
      </c>
    </row>
    <row r="6" spans="1:19" hidden="1" x14ac:dyDescent="0.25">
      <c r="A6" s="31" t="s">
        <v>1195</v>
      </c>
      <c r="B6" s="31" t="s">
        <v>86</v>
      </c>
      <c r="C6" s="31" t="s">
        <v>12</v>
      </c>
      <c r="D6" s="31" t="s">
        <v>1641</v>
      </c>
      <c r="E6" s="31" t="s">
        <v>37</v>
      </c>
      <c r="F6" s="31" t="s">
        <v>16</v>
      </c>
      <c r="G6" s="31" t="s">
        <v>528</v>
      </c>
      <c r="L6" s="34">
        <v>0</v>
      </c>
      <c r="M6" s="34">
        <v>0</v>
      </c>
      <c r="N6" s="34">
        <v>0</v>
      </c>
      <c r="O6" s="34">
        <f t="shared" ref="O6:O18" si="0">S6</f>
        <v>0</v>
      </c>
      <c r="P6" s="34">
        <f t="shared" ref="P6:P18" si="1">O6*1.044</f>
        <v>0</v>
      </c>
      <c r="Q6" s="34">
        <f t="shared" ref="Q6:Q18" si="2">P6*1.045</f>
        <v>0</v>
      </c>
      <c r="S6" s="145"/>
    </row>
    <row r="7" spans="1:19" s="107" customFormat="1" x14ac:dyDescent="0.25">
      <c r="A7" s="52" t="s">
        <v>553</v>
      </c>
      <c r="B7" s="52" t="s">
        <v>11</v>
      </c>
      <c r="C7" s="52" t="s">
        <v>12</v>
      </c>
      <c r="D7" s="52" t="s">
        <v>1630</v>
      </c>
      <c r="E7" s="52" t="s">
        <v>527</v>
      </c>
      <c r="F7" s="52" t="s">
        <v>15</v>
      </c>
      <c r="G7" s="52" t="s">
        <v>16</v>
      </c>
      <c r="H7" s="52" t="s">
        <v>528</v>
      </c>
      <c r="I7" s="104" t="s">
        <v>18</v>
      </c>
      <c r="J7" s="104">
        <v>3</v>
      </c>
      <c r="K7" s="104"/>
      <c r="L7" s="34">
        <v>90000</v>
      </c>
      <c r="M7" s="34">
        <v>25000</v>
      </c>
      <c r="N7" s="34">
        <v>25000</v>
      </c>
      <c r="O7" s="34">
        <v>25000</v>
      </c>
      <c r="P7" s="34">
        <f t="shared" si="1"/>
        <v>26100</v>
      </c>
      <c r="Q7" s="34">
        <f t="shared" si="2"/>
        <v>27274.499999999996</v>
      </c>
      <c r="S7" s="145"/>
    </row>
    <row r="8" spans="1:19" x14ac:dyDescent="0.25">
      <c r="A8" s="31" t="s">
        <v>555</v>
      </c>
      <c r="B8" s="31" t="s">
        <v>11</v>
      </c>
      <c r="C8" s="31" t="s">
        <v>12</v>
      </c>
      <c r="D8" s="31" t="s">
        <v>153</v>
      </c>
      <c r="E8" s="31" t="s">
        <v>527</v>
      </c>
      <c r="F8" s="31" t="s">
        <v>15</v>
      </c>
      <c r="G8" s="31" t="s">
        <v>16</v>
      </c>
      <c r="H8" s="31" t="s">
        <v>528</v>
      </c>
      <c r="I8" s="32" t="s">
        <v>18</v>
      </c>
      <c r="J8" s="32">
        <v>3</v>
      </c>
      <c r="K8" s="32"/>
      <c r="L8" s="34">
        <v>170467.96528999996</v>
      </c>
      <c r="M8" s="34">
        <v>310838.92000000004</v>
      </c>
      <c r="N8" s="34">
        <v>310838.92000000004</v>
      </c>
      <c r="O8" s="34">
        <f t="shared" si="0"/>
        <v>177538.73929999996</v>
      </c>
      <c r="P8" s="34">
        <f t="shared" si="1"/>
        <v>185350.44382919997</v>
      </c>
      <c r="Q8" s="34">
        <f t="shared" si="2"/>
        <v>193691.21380151395</v>
      </c>
      <c r="S8" s="145">
        <f>'[1]6114ASSETS'!$I$10</f>
        <v>177538.73929999996</v>
      </c>
    </row>
    <row r="9" spans="1:19" x14ac:dyDescent="0.25">
      <c r="A9" s="31" t="s">
        <v>554</v>
      </c>
      <c r="B9" s="31" t="s">
        <v>11</v>
      </c>
      <c r="C9" s="31" t="s">
        <v>12</v>
      </c>
      <c r="D9" s="31" t="s">
        <v>155</v>
      </c>
      <c r="E9" s="31" t="s">
        <v>527</v>
      </c>
      <c r="F9" s="31" t="s">
        <v>15</v>
      </c>
      <c r="G9" s="31" t="s">
        <v>16</v>
      </c>
      <c r="H9" s="31" t="s">
        <v>528</v>
      </c>
      <c r="I9" s="32" t="s">
        <v>18</v>
      </c>
      <c r="J9" s="32">
        <v>3</v>
      </c>
      <c r="K9" s="32"/>
      <c r="L9" s="34">
        <v>24192.096249599996</v>
      </c>
      <c r="M9" s="34">
        <v>24192.096249599996</v>
      </c>
      <c r="N9" s="34">
        <v>24192.096249599996</v>
      </c>
      <c r="O9" s="34">
        <f t="shared" si="0"/>
        <v>0</v>
      </c>
      <c r="P9" s="34">
        <f t="shared" si="1"/>
        <v>0</v>
      </c>
      <c r="Q9" s="34">
        <f t="shared" si="2"/>
        <v>0</v>
      </c>
      <c r="S9" s="145">
        <f>'[2]6114ASSETS'!$J$10</f>
        <v>0</v>
      </c>
    </row>
    <row r="10" spans="1:19" x14ac:dyDescent="0.25">
      <c r="A10" s="31" t="s">
        <v>552</v>
      </c>
      <c r="B10" s="31" t="s">
        <v>11</v>
      </c>
      <c r="C10" s="31" t="s">
        <v>12</v>
      </c>
      <c r="D10" s="31" t="s">
        <v>41</v>
      </c>
      <c r="E10" s="31" t="s">
        <v>527</v>
      </c>
      <c r="F10" s="31" t="s">
        <v>15</v>
      </c>
      <c r="G10" s="31" t="s">
        <v>16</v>
      </c>
      <c r="H10" s="31" t="s">
        <v>528</v>
      </c>
      <c r="I10" s="32" t="s">
        <v>18</v>
      </c>
      <c r="J10" s="32">
        <v>3</v>
      </c>
      <c r="K10" s="32"/>
      <c r="L10" s="34">
        <v>450035.42836560006</v>
      </c>
      <c r="M10" s="34">
        <v>398109.17859999998</v>
      </c>
      <c r="N10" s="34">
        <v>398109.17859999998</v>
      </c>
      <c r="O10" s="34">
        <f t="shared" si="0"/>
        <v>468702.27175199991</v>
      </c>
      <c r="P10" s="34">
        <f t="shared" si="1"/>
        <v>489325.17170908791</v>
      </c>
      <c r="Q10" s="34">
        <f t="shared" si="2"/>
        <v>511344.8044359968</v>
      </c>
      <c r="S10" s="145">
        <f>'[1]6114ASSETS'!$K$10</f>
        <v>468702.27175199991</v>
      </c>
    </row>
    <row r="11" spans="1:19" x14ac:dyDescent="0.25">
      <c r="A11" s="31" t="s">
        <v>550</v>
      </c>
      <c r="B11" s="31" t="s">
        <v>11</v>
      </c>
      <c r="C11" s="31" t="s">
        <v>12</v>
      </c>
      <c r="D11" s="31" t="s">
        <v>36</v>
      </c>
      <c r="E11" s="31" t="s">
        <v>527</v>
      </c>
      <c r="F11" s="31" t="s">
        <v>15</v>
      </c>
      <c r="G11" s="31" t="s">
        <v>16</v>
      </c>
      <c r="H11" s="31" t="s">
        <v>528</v>
      </c>
      <c r="I11" s="32" t="s">
        <v>18</v>
      </c>
      <c r="J11" s="32">
        <v>3</v>
      </c>
      <c r="K11" s="32"/>
      <c r="L11" s="34">
        <v>79488</v>
      </c>
      <c r="M11" s="34">
        <v>162255.6</v>
      </c>
      <c r="N11" s="34">
        <v>162255.6</v>
      </c>
      <c r="O11" s="34">
        <f t="shared" si="0"/>
        <v>99424.8</v>
      </c>
      <c r="P11" s="34">
        <f t="shared" si="1"/>
        <v>103799.4912</v>
      </c>
      <c r="Q11" s="34">
        <f t="shared" si="2"/>
        <v>108470.46830399999</v>
      </c>
      <c r="S11" s="145">
        <f>'[1]6114ASSETS'!$L$10</f>
        <v>99424.8</v>
      </c>
    </row>
    <row r="12" spans="1:19" x14ac:dyDescent="0.25">
      <c r="A12" s="31" t="s">
        <v>558</v>
      </c>
      <c r="B12" s="31" t="s">
        <v>11</v>
      </c>
      <c r="C12" s="31" t="s">
        <v>12</v>
      </c>
      <c r="D12" s="31" t="s">
        <v>47</v>
      </c>
      <c r="E12" s="31" t="s">
        <v>527</v>
      </c>
      <c r="F12" s="31" t="s">
        <v>15</v>
      </c>
      <c r="G12" s="31" t="s">
        <v>16</v>
      </c>
      <c r="H12" s="31" t="s">
        <v>528</v>
      </c>
      <c r="I12" s="32" t="s">
        <v>18</v>
      </c>
      <c r="J12" s="32">
        <v>3</v>
      </c>
      <c r="K12" s="32"/>
      <c r="L12" s="34">
        <v>393421.80000000005</v>
      </c>
      <c r="M12" s="34">
        <v>471735.97</v>
      </c>
      <c r="N12" s="34">
        <v>471735.97</v>
      </c>
      <c r="O12" s="34">
        <f t="shared" si="0"/>
        <v>427143.94643999997</v>
      </c>
      <c r="P12" s="34">
        <f t="shared" si="1"/>
        <v>445938.28008335998</v>
      </c>
      <c r="Q12" s="34">
        <f t="shared" si="2"/>
        <v>466005.50268711115</v>
      </c>
      <c r="S12" s="145">
        <f>'[1]6114ASSETS'!$M$10</f>
        <v>427143.94643999997</v>
      </c>
    </row>
    <row r="13" spans="1:19" x14ac:dyDescent="0.25">
      <c r="A13" s="31" t="s">
        <v>526</v>
      </c>
      <c r="B13" s="31" t="s">
        <v>11</v>
      </c>
      <c r="C13" s="31" t="s">
        <v>12</v>
      </c>
      <c r="D13" s="31" t="s">
        <v>45</v>
      </c>
      <c r="E13" s="31" t="s">
        <v>527</v>
      </c>
      <c r="F13" s="31" t="s">
        <v>37</v>
      </c>
      <c r="G13" s="31" t="s">
        <v>16</v>
      </c>
      <c r="H13" s="31" t="s">
        <v>528</v>
      </c>
      <c r="I13" s="32" t="s">
        <v>38</v>
      </c>
      <c r="J13" s="32">
        <v>1</v>
      </c>
      <c r="K13" s="32"/>
      <c r="L13" s="34">
        <v>24441.72</v>
      </c>
      <c r="M13" s="34">
        <v>19550.07</v>
      </c>
      <c r="N13" s="34">
        <v>19550.07</v>
      </c>
      <c r="O13" s="34">
        <f t="shared" si="0"/>
        <v>26526.314759999994</v>
      </c>
      <c r="P13" s="34">
        <f t="shared" si="1"/>
        <v>27693.472609439996</v>
      </c>
      <c r="Q13" s="34">
        <f t="shared" si="2"/>
        <v>28939.678876864793</v>
      </c>
      <c r="S13" s="145">
        <f>'[1]6114ASSETS'!$N$10</f>
        <v>26526.314759999994</v>
      </c>
    </row>
    <row r="14" spans="1:19" x14ac:dyDescent="0.25">
      <c r="A14" s="31" t="s">
        <v>556</v>
      </c>
      <c r="B14" s="31" t="s">
        <v>11</v>
      </c>
      <c r="C14" s="31" t="s">
        <v>12</v>
      </c>
      <c r="D14" s="31" t="s">
        <v>156</v>
      </c>
      <c r="E14" s="31" t="s">
        <v>527</v>
      </c>
      <c r="F14" s="31" t="s">
        <v>15</v>
      </c>
      <c r="G14" s="31" t="s">
        <v>16</v>
      </c>
      <c r="H14" s="31" t="s">
        <v>528</v>
      </c>
      <c r="I14" s="32" t="s">
        <v>18</v>
      </c>
      <c r="J14" s="32">
        <v>3</v>
      </c>
      <c r="K14" s="32"/>
      <c r="L14" s="34">
        <v>12141.251879999998</v>
      </c>
      <c r="M14" s="34">
        <v>11574.119999999999</v>
      </c>
      <c r="N14" s="34">
        <v>11574.119999999999</v>
      </c>
      <c r="O14" s="34">
        <f t="shared" si="0"/>
        <v>12141.251879999998</v>
      </c>
      <c r="P14" s="34">
        <f t="shared" si="1"/>
        <v>12675.466962719998</v>
      </c>
      <c r="Q14" s="34">
        <f t="shared" si="2"/>
        <v>13245.862976042397</v>
      </c>
      <c r="S14" s="145">
        <f>'[1]6114ASSETS'!$P$10</f>
        <v>12141.251879999998</v>
      </c>
    </row>
    <row r="15" spans="1:19" x14ac:dyDescent="0.25">
      <c r="A15" s="31" t="s">
        <v>549</v>
      </c>
      <c r="B15" s="31" t="s">
        <v>11</v>
      </c>
      <c r="C15" s="31" t="s">
        <v>12</v>
      </c>
      <c r="D15" s="31" t="s">
        <v>151</v>
      </c>
      <c r="E15" s="31" t="s">
        <v>527</v>
      </c>
      <c r="F15" s="31" t="s">
        <v>15</v>
      </c>
      <c r="G15" s="31" t="s">
        <v>16</v>
      </c>
      <c r="H15" s="31" t="s">
        <v>528</v>
      </c>
      <c r="I15" s="32" t="s">
        <v>18</v>
      </c>
      <c r="J15" s="32">
        <v>3</v>
      </c>
      <c r="K15" s="32"/>
      <c r="L15" s="34">
        <v>712.8</v>
      </c>
      <c r="M15" s="34">
        <v>628.30000000000007</v>
      </c>
      <c r="N15" s="34">
        <v>628.30000000000007</v>
      </c>
      <c r="O15" s="34">
        <f t="shared" si="0"/>
        <v>741.6</v>
      </c>
      <c r="P15" s="34">
        <f t="shared" si="1"/>
        <v>774.23040000000003</v>
      </c>
      <c r="Q15" s="34">
        <f t="shared" si="2"/>
        <v>809.07076799999993</v>
      </c>
      <c r="S15" s="145">
        <f>'[1]6114ASSETS'!$R$10</f>
        <v>741.6</v>
      </c>
    </row>
    <row r="16" spans="1:19" x14ac:dyDescent="0.25">
      <c r="A16" s="31" t="s">
        <v>551</v>
      </c>
      <c r="B16" s="31" t="s">
        <v>11</v>
      </c>
      <c r="C16" s="31" t="s">
        <v>12</v>
      </c>
      <c r="D16" s="31" t="s">
        <v>43</v>
      </c>
      <c r="E16" s="31" t="s">
        <v>527</v>
      </c>
      <c r="F16" s="31" t="s">
        <v>15</v>
      </c>
      <c r="G16" s="31" t="s">
        <v>16</v>
      </c>
      <c r="H16" s="31" t="s">
        <v>528</v>
      </c>
      <c r="I16" s="32" t="s">
        <v>18</v>
      </c>
      <c r="J16" s="32">
        <v>3</v>
      </c>
      <c r="K16" s="32"/>
      <c r="L16" s="34">
        <v>8984.16</v>
      </c>
      <c r="M16" s="34">
        <v>12016.726699999999</v>
      </c>
      <c r="N16" s="34">
        <v>12016.726699999999</v>
      </c>
      <c r="O16" s="34">
        <f t="shared" si="0"/>
        <v>8984.16</v>
      </c>
      <c r="P16" s="34">
        <f t="shared" si="1"/>
        <v>9379.4630400000005</v>
      </c>
      <c r="Q16" s="34">
        <f t="shared" si="2"/>
        <v>9801.5388767999993</v>
      </c>
      <c r="S16" s="145">
        <f>'[1]6114ASSETS'!$T$10</f>
        <v>8984.16</v>
      </c>
    </row>
    <row r="17" spans="1:19" x14ac:dyDescent="0.25">
      <c r="A17" s="31"/>
      <c r="B17" s="31"/>
      <c r="C17" s="31"/>
      <c r="D17" s="31"/>
      <c r="E17" s="31"/>
      <c r="F17" s="31"/>
      <c r="G17" s="31"/>
      <c r="H17" s="31"/>
      <c r="I17" s="32"/>
      <c r="J17" s="32"/>
      <c r="K17" s="32"/>
      <c r="M17" s="34"/>
      <c r="N17" s="34"/>
      <c r="O17" s="34"/>
      <c r="P17" s="34"/>
      <c r="Q17" s="34"/>
      <c r="S17" s="145"/>
    </row>
    <row r="18" spans="1:19" x14ac:dyDescent="0.25">
      <c r="A18" s="31" t="s">
        <v>548</v>
      </c>
      <c r="B18" s="31" t="s">
        <v>11</v>
      </c>
      <c r="C18" s="31" t="s">
        <v>12</v>
      </c>
      <c r="D18" s="31" t="s">
        <v>30</v>
      </c>
      <c r="E18" s="31" t="s">
        <v>527</v>
      </c>
      <c r="F18" s="31" t="s">
        <v>15</v>
      </c>
      <c r="G18" s="31" t="s">
        <v>16</v>
      </c>
      <c r="H18" s="31" t="s">
        <v>528</v>
      </c>
      <c r="I18" s="32" t="s">
        <v>18</v>
      </c>
      <c r="J18" s="32">
        <v>3</v>
      </c>
      <c r="K18" s="32"/>
      <c r="L18" s="34">
        <v>20456.1558348</v>
      </c>
      <c r="M18" s="34">
        <v>23012.041300000001</v>
      </c>
      <c r="N18" s="34">
        <v>23012.041300000001</v>
      </c>
      <c r="O18" s="34">
        <f t="shared" si="0"/>
        <v>21304.648715999996</v>
      </c>
      <c r="P18" s="34">
        <f t="shared" si="1"/>
        <v>22242.053259503995</v>
      </c>
      <c r="Q18" s="34">
        <f t="shared" si="2"/>
        <v>23242.945656181673</v>
      </c>
      <c r="S18" s="145">
        <f>'[1]6114ASSETS'!$Q$10</f>
        <v>21304.648715999996</v>
      </c>
    </row>
    <row r="19" spans="1:19" hidden="1" x14ac:dyDescent="0.25">
      <c r="A19" s="31" t="s">
        <v>530</v>
      </c>
      <c r="B19" s="31" t="s">
        <v>11</v>
      </c>
      <c r="C19" s="31" t="s">
        <v>12</v>
      </c>
      <c r="D19" s="31" t="s">
        <v>1642</v>
      </c>
      <c r="E19" s="31" t="s">
        <v>527</v>
      </c>
      <c r="F19" s="31" t="s">
        <v>15</v>
      </c>
      <c r="G19" s="31" t="s">
        <v>16</v>
      </c>
      <c r="H19" s="31" t="s">
        <v>528</v>
      </c>
      <c r="I19" s="32" t="s">
        <v>18</v>
      </c>
      <c r="J19" s="32">
        <v>3</v>
      </c>
      <c r="K19" s="32"/>
      <c r="M19" s="34"/>
      <c r="N19" s="34"/>
      <c r="O19" s="34"/>
      <c r="P19" s="34"/>
      <c r="Q19" s="34"/>
    </row>
    <row r="20" spans="1:19" x14ac:dyDescent="0.25">
      <c r="A20" s="31" t="s">
        <v>2225</v>
      </c>
      <c r="B20" s="31" t="s">
        <v>11</v>
      </c>
      <c r="C20" s="31" t="s">
        <v>547</v>
      </c>
      <c r="D20" s="31" t="s">
        <v>1643</v>
      </c>
      <c r="E20" s="31" t="s">
        <v>527</v>
      </c>
      <c r="F20" s="31" t="s">
        <v>15</v>
      </c>
      <c r="G20" s="31" t="s">
        <v>16</v>
      </c>
      <c r="H20" s="31" t="s">
        <v>528</v>
      </c>
      <c r="I20" s="32" t="s">
        <v>18</v>
      </c>
      <c r="J20" s="32">
        <v>3</v>
      </c>
      <c r="K20" s="32"/>
      <c r="L20" s="43">
        <f>4500000-3000000</f>
        <v>1500000</v>
      </c>
      <c r="M20" s="43">
        <v>1000000</v>
      </c>
      <c r="N20" s="43">
        <v>1000000</v>
      </c>
      <c r="O20" s="43">
        <v>1500000</v>
      </c>
      <c r="P20" s="43">
        <v>1500000</v>
      </c>
      <c r="Q20" s="43">
        <v>1500000</v>
      </c>
    </row>
    <row r="21" spans="1:19" x14ac:dyDescent="0.25">
      <c r="A21" s="31" t="s">
        <v>2224</v>
      </c>
      <c r="B21" s="31" t="s">
        <v>11</v>
      </c>
      <c r="C21" s="31" t="s">
        <v>547</v>
      </c>
      <c r="D21" s="31" t="s">
        <v>1644</v>
      </c>
      <c r="E21" s="31" t="s">
        <v>527</v>
      </c>
      <c r="F21" s="31" t="s">
        <v>15</v>
      </c>
      <c r="G21" s="31" t="s">
        <v>16</v>
      </c>
      <c r="H21" s="31" t="s">
        <v>528</v>
      </c>
      <c r="I21" s="32" t="s">
        <v>18</v>
      </c>
      <c r="J21" s="32">
        <v>3</v>
      </c>
      <c r="K21" s="32"/>
      <c r="L21" s="43">
        <f>2000000-1000000</f>
        <v>1000000</v>
      </c>
      <c r="M21" s="43">
        <v>1000000</v>
      </c>
      <c r="N21" s="43">
        <v>1000000</v>
      </c>
      <c r="O21" s="43">
        <v>1500000</v>
      </c>
      <c r="P21" s="43">
        <v>1500000</v>
      </c>
      <c r="Q21" s="43">
        <v>1500000</v>
      </c>
    </row>
    <row r="22" spans="1:19" x14ac:dyDescent="0.25">
      <c r="A22" s="31" t="s">
        <v>2223</v>
      </c>
      <c r="B22" s="31" t="s">
        <v>11</v>
      </c>
      <c r="C22" s="31" t="s">
        <v>547</v>
      </c>
      <c r="D22" s="31" t="s">
        <v>1645</v>
      </c>
      <c r="E22" s="31" t="s">
        <v>527</v>
      </c>
      <c r="F22" s="31" t="s">
        <v>15</v>
      </c>
      <c r="G22" s="31" t="s">
        <v>16</v>
      </c>
      <c r="H22" s="31" t="s">
        <v>528</v>
      </c>
      <c r="I22" s="32" t="s">
        <v>18</v>
      </c>
      <c r="J22" s="32">
        <v>3</v>
      </c>
      <c r="K22" s="32"/>
      <c r="L22" s="43">
        <f>4000000-700000</f>
        <v>3300000</v>
      </c>
      <c r="M22" s="43">
        <v>1800000</v>
      </c>
      <c r="N22" s="43">
        <v>1800000</v>
      </c>
      <c r="O22" s="43">
        <v>4000000</v>
      </c>
      <c r="P22" s="43">
        <v>4000000</v>
      </c>
      <c r="Q22" s="43">
        <v>4000000</v>
      </c>
    </row>
    <row r="23" spans="1:19" x14ac:dyDescent="0.25">
      <c r="A23" s="31" t="s">
        <v>2222</v>
      </c>
      <c r="B23" s="31" t="s">
        <v>11</v>
      </c>
      <c r="C23" s="31" t="s">
        <v>547</v>
      </c>
      <c r="D23" s="31" t="s">
        <v>1646</v>
      </c>
      <c r="E23" s="31" t="s">
        <v>527</v>
      </c>
      <c r="F23" s="31" t="s">
        <v>15</v>
      </c>
      <c r="G23" s="31" t="s">
        <v>16</v>
      </c>
      <c r="H23" s="31" t="s">
        <v>528</v>
      </c>
      <c r="I23" s="32" t="s">
        <v>18</v>
      </c>
      <c r="J23" s="32">
        <v>3</v>
      </c>
      <c r="K23" s="32"/>
      <c r="L23" s="43">
        <f>5000000-2000000</f>
        <v>3000000</v>
      </c>
      <c r="M23" s="43">
        <v>3000000</v>
      </c>
      <c r="N23" s="43">
        <v>3000000</v>
      </c>
      <c r="O23" s="43">
        <v>5000000</v>
      </c>
      <c r="P23" s="43">
        <v>5000000</v>
      </c>
      <c r="Q23" s="43">
        <v>5000000</v>
      </c>
    </row>
    <row r="24" spans="1:19" x14ac:dyDescent="0.25">
      <c r="A24" s="31" t="s">
        <v>2221</v>
      </c>
      <c r="B24" s="31" t="s">
        <v>11</v>
      </c>
      <c r="C24" s="31" t="s">
        <v>547</v>
      </c>
      <c r="D24" s="31" t="s">
        <v>1647</v>
      </c>
      <c r="E24" s="31" t="s">
        <v>527</v>
      </c>
      <c r="F24" s="31" t="s">
        <v>15</v>
      </c>
      <c r="G24" s="31" t="s">
        <v>16</v>
      </c>
      <c r="H24" s="31" t="s">
        <v>528</v>
      </c>
      <c r="I24" s="32" t="s">
        <v>18</v>
      </c>
      <c r="J24" s="32">
        <v>3</v>
      </c>
      <c r="K24" s="32"/>
      <c r="L24" s="43">
        <v>3500000</v>
      </c>
      <c r="M24" s="43">
        <v>2500000</v>
      </c>
      <c r="N24" s="43">
        <v>2500000</v>
      </c>
      <c r="O24" s="43">
        <v>4500000</v>
      </c>
      <c r="P24" s="43">
        <v>4500000</v>
      </c>
      <c r="Q24" s="43">
        <v>4500000</v>
      </c>
    </row>
    <row r="25" spans="1:19" x14ac:dyDescent="0.25">
      <c r="A25" s="31" t="s">
        <v>2220</v>
      </c>
      <c r="B25" s="31" t="s">
        <v>11</v>
      </c>
      <c r="C25" s="31" t="s">
        <v>547</v>
      </c>
      <c r="D25" s="31" t="s">
        <v>1648</v>
      </c>
      <c r="E25" s="31" t="s">
        <v>527</v>
      </c>
      <c r="F25" s="31" t="s">
        <v>15</v>
      </c>
      <c r="G25" s="31" t="s">
        <v>16</v>
      </c>
      <c r="H25" s="31" t="s">
        <v>528</v>
      </c>
      <c r="I25" s="32" t="s">
        <v>18</v>
      </c>
      <c r="J25" s="32">
        <v>3</v>
      </c>
      <c r="K25" s="32"/>
      <c r="L25" s="43">
        <f>3500000-1000000</f>
        <v>2500000</v>
      </c>
      <c r="M25" s="43">
        <v>1500000</v>
      </c>
      <c r="N25" s="43">
        <v>1500000</v>
      </c>
      <c r="O25" s="43">
        <v>3000000</v>
      </c>
      <c r="P25" s="43">
        <v>3000000</v>
      </c>
      <c r="Q25" s="43">
        <v>3000000</v>
      </c>
    </row>
    <row r="26" spans="1:19" x14ac:dyDescent="0.25">
      <c r="A26" s="31" t="s">
        <v>2219</v>
      </c>
      <c r="B26" s="31" t="s">
        <v>11</v>
      </c>
      <c r="C26" s="31" t="s">
        <v>547</v>
      </c>
      <c r="D26" s="31" t="s">
        <v>1649</v>
      </c>
      <c r="E26" s="31" t="s">
        <v>527</v>
      </c>
      <c r="F26" s="31" t="s">
        <v>15</v>
      </c>
      <c r="G26" s="31" t="s">
        <v>16</v>
      </c>
      <c r="H26" s="31" t="s">
        <v>528</v>
      </c>
      <c r="I26" s="32" t="s">
        <v>18</v>
      </c>
      <c r="J26" s="32">
        <v>3</v>
      </c>
      <c r="K26" s="32"/>
      <c r="L26" s="43">
        <f>72500000-2500000-10000000</f>
        <v>60000000</v>
      </c>
      <c r="M26" s="43">
        <f>66000000-11000000</f>
        <v>55000000</v>
      </c>
      <c r="N26" s="43">
        <v>55000000</v>
      </c>
      <c r="O26" s="43">
        <v>71500000</v>
      </c>
      <c r="P26" s="43">
        <v>72500000</v>
      </c>
      <c r="Q26" s="43">
        <v>73500000</v>
      </c>
    </row>
    <row r="27" spans="1:19" x14ac:dyDescent="0.25">
      <c r="A27" s="31" t="s">
        <v>538</v>
      </c>
      <c r="B27" s="31" t="s">
        <v>11</v>
      </c>
      <c r="C27" s="31" t="s">
        <v>12</v>
      </c>
      <c r="D27" s="31" t="s">
        <v>20</v>
      </c>
      <c r="E27" s="31" t="s">
        <v>527</v>
      </c>
      <c r="F27" s="31" t="s">
        <v>15</v>
      </c>
      <c r="G27" s="31" t="s">
        <v>16</v>
      </c>
      <c r="H27" s="31" t="s">
        <v>528</v>
      </c>
      <c r="I27" s="32" t="s">
        <v>18</v>
      </c>
      <c r="J27" s="32">
        <v>3</v>
      </c>
      <c r="K27" s="32"/>
      <c r="L27" s="43">
        <v>2600</v>
      </c>
      <c r="M27" s="43">
        <v>2600</v>
      </c>
      <c r="N27" s="43">
        <v>2600</v>
      </c>
      <c r="O27" s="43">
        <v>2600</v>
      </c>
      <c r="P27" s="43">
        <v>2600</v>
      </c>
      <c r="Q27" s="43">
        <v>2600</v>
      </c>
    </row>
    <row r="28" spans="1:19" x14ac:dyDescent="0.25">
      <c r="A28" s="31" t="s">
        <v>540</v>
      </c>
      <c r="B28" s="31" t="s">
        <v>11</v>
      </c>
      <c r="C28" s="31" t="s">
        <v>12</v>
      </c>
      <c r="D28" s="31" t="s">
        <v>24</v>
      </c>
      <c r="E28" s="31" t="s">
        <v>527</v>
      </c>
      <c r="F28" s="31" t="s">
        <v>15</v>
      </c>
      <c r="G28" s="31" t="s">
        <v>16</v>
      </c>
      <c r="H28" s="31" t="s">
        <v>528</v>
      </c>
      <c r="I28" s="32" t="s">
        <v>18</v>
      </c>
      <c r="J28" s="32">
        <v>3</v>
      </c>
      <c r="K28" s="32"/>
      <c r="L28" s="43">
        <v>1600</v>
      </c>
      <c r="M28" s="43">
        <v>2500</v>
      </c>
      <c r="N28" s="43">
        <v>2500</v>
      </c>
      <c r="O28" s="43">
        <v>2500</v>
      </c>
      <c r="P28" s="43">
        <v>2500</v>
      </c>
      <c r="Q28" s="43">
        <v>2500</v>
      </c>
    </row>
    <row r="29" spans="1:19" x14ac:dyDescent="0.25">
      <c r="A29" s="31" t="s">
        <v>535</v>
      </c>
      <c r="B29" s="31" t="s">
        <v>11</v>
      </c>
      <c r="C29" s="31" t="s">
        <v>12</v>
      </c>
      <c r="D29" s="31" t="s">
        <v>28</v>
      </c>
      <c r="E29" s="31" t="s">
        <v>527</v>
      </c>
      <c r="F29" s="31" t="s">
        <v>15</v>
      </c>
      <c r="G29" s="31" t="s">
        <v>16</v>
      </c>
      <c r="H29" s="31" t="s">
        <v>528</v>
      </c>
      <c r="I29" s="32" t="s">
        <v>18</v>
      </c>
      <c r="J29" s="32">
        <v>3</v>
      </c>
      <c r="K29" s="32"/>
      <c r="L29" s="43">
        <v>20000</v>
      </c>
      <c r="M29" s="43">
        <v>20000</v>
      </c>
      <c r="N29" s="43">
        <v>20000</v>
      </c>
      <c r="O29" s="43">
        <v>20000</v>
      </c>
      <c r="P29" s="43">
        <v>20000</v>
      </c>
      <c r="Q29" s="43">
        <v>20000</v>
      </c>
    </row>
    <row r="30" spans="1:19" x14ac:dyDescent="0.25">
      <c r="A30" s="31" t="s">
        <v>1194</v>
      </c>
      <c r="B30" s="31" t="s">
        <v>28</v>
      </c>
      <c r="C30" s="31" t="s">
        <v>203</v>
      </c>
      <c r="D30" s="31" t="s">
        <v>28</v>
      </c>
      <c r="E30" s="31" t="s">
        <v>37</v>
      </c>
      <c r="F30" s="31" t="s">
        <v>16</v>
      </c>
      <c r="G30" s="31" t="s">
        <v>528</v>
      </c>
      <c r="H30" s="31"/>
      <c r="I30" s="32"/>
      <c r="J30" s="32"/>
      <c r="K30" s="32"/>
      <c r="L30" s="43">
        <v>15000</v>
      </c>
      <c r="M30" s="43">
        <v>15000</v>
      </c>
      <c r="N30" s="43">
        <v>15000</v>
      </c>
      <c r="O30" s="43">
        <v>15000</v>
      </c>
      <c r="P30" s="43">
        <v>15000</v>
      </c>
      <c r="Q30" s="43">
        <v>15000</v>
      </c>
    </row>
    <row r="31" spans="1:19" hidden="1" x14ac:dyDescent="0.25">
      <c r="A31" s="31" t="s">
        <v>532</v>
      </c>
      <c r="B31" s="31" t="s">
        <v>11</v>
      </c>
      <c r="C31" s="31" t="s">
        <v>12</v>
      </c>
      <c r="D31" s="31" t="s">
        <v>1650</v>
      </c>
      <c r="E31" s="31" t="s">
        <v>527</v>
      </c>
      <c r="F31" s="31" t="s">
        <v>15</v>
      </c>
      <c r="G31" s="31" t="s">
        <v>16</v>
      </c>
      <c r="H31" s="31" t="s">
        <v>528</v>
      </c>
      <c r="I31" s="32" t="s">
        <v>18</v>
      </c>
      <c r="J31" s="32">
        <v>3</v>
      </c>
      <c r="K31" s="32"/>
      <c r="L31" s="54"/>
      <c r="M31" s="54"/>
      <c r="N31" s="54"/>
      <c r="O31" s="54"/>
      <c r="P31" s="54"/>
      <c r="Q31" s="54"/>
    </row>
    <row r="32" spans="1:19" x14ac:dyDescent="0.25">
      <c r="A32" s="31" t="s">
        <v>531</v>
      </c>
      <c r="B32" s="31" t="s">
        <v>11</v>
      </c>
      <c r="C32" s="31" t="s">
        <v>12</v>
      </c>
      <c r="D32" s="31" t="s">
        <v>1651</v>
      </c>
      <c r="E32" s="31" t="s">
        <v>527</v>
      </c>
      <c r="F32" s="31" t="s">
        <v>37</v>
      </c>
      <c r="G32" s="31" t="s">
        <v>16</v>
      </c>
      <c r="H32" s="31" t="s">
        <v>528</v>
      </c>
      <c r="I32" s="32" t="s">
        <v>38</v>
      </c>
      <c r="J32" s="32">
        <v>1</v>
      </c>
      <c r="K32" s="32"/>
      <c r="L32" s="43">
        <v>1750000</v>
      </c>
      <c r="M32" s="43">
        <v>1750000</v>
      </c>
      <c r="N32" s="43">
        <v>1750000</v>
      </c>
      <c r="O32" s="43">
        <v>2000000</v>
      </c>
      <c r="P32" s="43">
        <v>2000000</v>
      </c>
      <c r="Q32" s="43">
        <v>2000000</v>
      </c>
    </row>
    <row r="33" spans="1:17" x14ac:dyDescent="0.25">
      <c r="A33" s="31" t="s">
        <v>537</v>
      </c>
      <c r="B33" s="31" t="s">
        <v>11</v>
      </c>
      <c r="C33" s="31" t="s">
        <v>12</v>
      </c>
      <c r="D33" s="31" t="s">
        <v>13</v>
      </c>
      <c r="E33" s="31" t="s">
        <v>527</v>
      </c>
      <c r="F33" s="31" t="s">
        <v>37</v>
      </c>
      <c r="G33" s="31" t="s">
        <v>16</v>
      </c>
      <c r="H33" s="31" t="s">
        <v>528</v>
      </c>
      <c r="I33" s="32" t="s">
        <v>38</v>
      </c>
      <c r="J33" s="32">
        <v>1</v>
      </c>
      <c r="K33" s="32"/>
      <c r="L33" s="43">
        <v>30000</v>
      </c>
      <c r="M33" s="43">
        <v>25000</v>
      </c>
      <c r="N33" s="43">
        <v>25000</v>
      </c>
      <c r="O33" s="43">
        <v>25000</v>
      </c>
      <c r="P33" s="43">
        <v>25000</v>
      </c>
      <c r="Q33" s="43">
        <v>25000</v>
      </c>
    </row>
    <row r="34" spans="1:17" hidden="1" x14ac:dyDescent="0.25">
      <c r="A34" s="31" t="s">
        <v>543</v>
      </c>
      <c r="B34" s="31" t="s">
        <v>11</v>
      </c>
      <c r="C34" s="31" t="s">
        <v>228</v>
      </c>
      <c r="D34" s="31" t="s">
        <v>13</v>
      </c>
      <c r="E34" s="31" t="s">
        <v>527</v>
      </c>
      <c r="F34" s="31" t="s">
        <v>15</v>
      </c>
      <c r="G34" s="31" t="s">
        <v>16</v>
      </c>
      <c r="H34" s="31" t="s">
        <v>528</v>
      </c>
      <c r="I34" s="32" t="s">
        <v>18</v>
      </c>
      <c r="J34" s="32">
        <v>3</v>
      </c>
      <c r="K34" s="32"/>
      <c r="L34" s="54"/>
      <c r="M34" s="54"/>
      <c r="N34" s="54"/>
      <c r="O34" s="54"/>
      <c r="P34" s="54"/>
      <c r="Q34" s="54"/>
    </row>
    <row r="35" spans="1:17" hidden="1" x14ac:dyDescent="0.25">
      <c r="A35" s="31" t="s">
        <v>536</v>
      </c>
      <c r="B35" s="31" t="s">
        <v>11</v>
      </c>
      <c r="C35" s="31" t="s">
        <v>12</v>
      </c>
      <c r="D35" s="31" t="s">
        <v>32</v>
      </c>
      <c r="E35" s="31" t="s">
        <v>527</v>
      </c>
      <c r="F35" s="31" t="s">
        <v>37</v>
      </c>
      <c r="G35" s="31" t="s">
        <v>16</v>
      </c>
      <c r="H35" s="31" t="s">
        <v>528</v>
      </c>
      <c r="I35" s="32" t="s">
        <v>38</v>
      </c>
      <c r="J35" s="32">
        <v>1</v>
      </c>
      <c r="K35" s="32"/>
      <c r="L35" s="54"/>
      <c r="M35" s="54"/>
      <c r="N35" s="54"/>
      <c r="O35" s="54"/>
      <c r="P35" s="54"/>
      <c r="Q35" s="54"/>
    </row>
    <row r="36" spans="1:17" hidden="1" x14ac:dyDescent="0.25">
      <c r="A36" s="31" t="s">
        <v>542</v>
      </c>
      <c r="B36" s="31" t="s">
        <v>11</v>
      </c>
      <c r="C36" s="31" t="s">
        <v>228</v>
      </c>
      <c r="D36" s="31" t="s">
        <v>32</v>
      </c>
      <c r="E36" s="31" t="s">
        <v>527</v>
      </c>
      <c r="F36" s="31" t="s">
        <v>15</v>
      </c>
      <c r="G36" s="31" t="s">
        <v>16</v>
      </c>
      <c r="H36" s="31" t="s">
        <v>528</v>
      </c>
      <c r="I36" s="32" t="s">
        <v>18</v>
      </c>
      <c r="J36" s="32">
        <v>3</v>
      </c>
      <c r="K36" s="32"/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</row>
    <row r="37" spans="1:17" hidden="1" x14ac:dyDescent="0.25">
      <c r="A37" s="31" t="s">
        <v>534</v>
      </c>
      <c r="B37" s="31" t="s">
        <v>11</v>
      </c>
      <c r="C37" s="31" t="s">
        <v>12</v>
      </c>
      <c r="D37" s="31" t="s">
        <v>26</v>
      </c>
      <c r="E37" s="31" t="s">
        <v>527</v>
      </c>
      <c r="F37" s="31" t="s">
        <v>15</v>
      </c>
      <c r="G37" s="31" t="s">
        <v>16</v>
      </c>
      <c r="H37" s="31" t="s">
        <v>528</v>
      </c>
      <c r="I37" s="32" t="s">
        <v>18</v>
      </c>
      <c r="J37" s="32">
        <v>3</v>
      </c>
      <c r="K37" s="32"/>
      <c r="L37" s="54"/>
      <c r="M37" s="54"/>
      <c r="N37" s="54"/>
      <c r="O37" s="54"/>
      <c r="P37" s="54"/>
      <c r="Q37" s="54"/>
    </row>
    <row r="38" spans="1:17" hidden="1" x14ac:dyDescent="0.25">
      <c r="A38" s="31" t="s">
        <v>541</v>
      </c>
      <c r="B38" s="31" t="s">
        <v>11</v>
      </c>
      <c r="C38" s="31" t="s">
        <v>203</v>
      </c>
      <c r="D38" s="31" t="s">
        <v>26</v>
      </c>
      <c r="E38" s="31" t="s">
        <v>527</v>
      </c>
      <c r="F38" s="31" t="s">
        <v>37</v>
      </c>
      <c r="G38" s="31" t="s">
        <v>16</v>
      </c>
      <c r="H38" s="31" t="s">
        <v>528</v>
      </c>
      <c r="I38" s="32" t="s">
        <v>38</v>
      </c>
      <c r="J38" s="32">
        <v>1</v>
      </c>
      <c r="K38" s="32"/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</row>
    <row r="39" spans="1:17" x14ac:dyDescent="0.25">
      <c r="A39" s="31" t="s">
        <v>539</v>
      </c>
      <c r="B39" s="31" t="s">
        <v>11</v>
      </c>
      <c r="C39" s="31" t="s">
        <v>12</v>
      </c>
      <c r="D39" s="31" t="s">
        <v>147</v>
      </c>
      <c r="E39" s="31" t="s">
        <v>527</v>
      </c>
      <c r="F39" s="31" t="s">
        <v>37</v>
      </c>
      <c r="G39" s="31" t="s">
        <v>16</v>
      </c>
      <c r="H39" s="31" t="s">
        <v>528</v>
      </c>
      <c r="I39" s="32" t="s">
        <v>38</v>
      </c>
      <c r="J39" s="32">
        <v>1</v>
      </c>
      <c r="K39" s="32"/>
      <c r="L39" s="43">
        <v>15000</v>
      </c>
      <c r="M39" s="43">
        <v>15000</v>
      </c>
      <c r="N39" s="43">
        <v>15000</v>
      </c>
      <c r="O39" s="43">
        <v>15000</v>
      </c>
      <c r="P39" s="43">
        <v>15000</v>
      </c>
      <c r="Q39" s="43">
        <v>15000</v>
      </c>
    </row>
    <row r="40" spans="1:17" hidden="1" x14ac:dyDescent="0.25">
      <c r="A40" s="31" t="s">
        <v>544</v>
      </c>
      <c r="B40" s="31" t="s">
        <v>11</v>
      </c>
      <c r="C40" s="31" t="s">
        <v>228</v>
      </c>
      <c r="D40" s="31" t="s">
        <v>22</v>
      </c>
      <c r="E40" s="31" t="s">
        <v>527</v>
      </c>
      <c r="F40" s="31" t="s">
        <v>15</v>
      </c>
      <c r="G40" s="31" t="s">
        <v>16</v>
      </c>
      <c r="H40" s="31" t="s">
        <v>528</v>
      </c>
      <c r="I40" s="32" t="s">
        <v>18</v>
      </c>
      <c r="J40" s="32">
        <v>3</v>
      </c>
      <c r="K40" s="32"/>
      <c r="L40" s="43"/>
      <c r="M40" s="43"/>
      <c r="N40" s="43"/>
      <c r="O40" s="43"/>
      <c r="P40" s="43"/>
      <c r="Q40" s="43"/>
    </row>
    <row r="41" spans="1:17" hidden="1" x14ac:dyDescent="0.25">
      <c r="A41" s="31" t="s">
        <v>533</v>
      </c>
      <c r="B41" s="31" t="s">
        <v>11</v>
      </c>
      <c r="C41" s="31" t="s">
        <v>12</v>
      </c>
      <c r="D41" s="31" t="s">
        <v>238</v>
      </c>
      <c r="E41" s="31" t="s">
        <v>527</v>
      </c>
      <c r="F41" s="31" t="s">
        <v>37</v>
      </c>
      <c r="G41" s="31" t="s">
        <v>16</v>
      </c>
      <c r="H41" s="31" t="s">
        <v>528</v>
      </c>
      <c r="I41" s="32" t="s">
        <v>38</v>
      </c>
      <c r="J41" s="32">
        <v>1</v>
      </c>
      <c r="K41" s="32"/>
      <c r="L41" s="43"/>
      <c r="M41" s="43"/>
      <c r="N41" s="43"/>
      <c r="O41" s="43"/>
      <c r="P41" s="43"/>
      <c r="Q41" s="43"/>
    </row>
    <row r="42" spans="1:17" x14ac:dyDescent="0.25">
      <c r="A42" s="31" t="s">
        <v>545</v>
      </c>
      <c r="B42" s="31" t="s">
        <v>11</v>
      </c>
      <c r="C42" s="31" t="s">
        <v>546</v>
      </c>
      <c r="D42" s="31" t="s">
        <v>1679</v>
      </c>
      <c r="E42" s="31" t="s">
        <v>527</v>
      </c>
      <c r="F42" s="31" t="s">
        <v>15</v>
      </c>
      <c r="G42" s="31" t="s">
        <v>16</v>
      </c>
      <c r="H42" s="31" t="s">
        <v>528</v>
      </c>
      <c r="I42" s="32" t="s">
        <v>18</v>
      </c>
      <c r="J42" s="32">
        <v>3</v>
      </c>
      <c r="K42" s="32"/>
      <c r="L42" s="43">
        <v>6000000</v>
      </c>
      <c r="M42" s="43">
        <v>7000000</v>
      </c>
      <c r="N42" s="43">
        <v>7000000</v>
      </c>
      <c r="O42" s="43">
        <v>7000000</v>
      </c>
      <c r="P42" s="43">
        <v>7000000</v>
      </c>
      <c r="Q42" s="43">
        <v>7000000</v>
      </c>
    </row>
    <row r="43" spans="1:17" x14ac:dyDescent="0.25">
      <c r="A43" s="31"/>
      <c r="B43" s="31"/>
      <c r="C43" s="31"/>
      <c r="D43" s="31"/>
      <c r="E43" s="31"/>
      <c r="F43" s="31"/>
      <c r="G43" s="31"/>
      <c r="H43" s="31"/>
      <c r="I43" s="32"/>
      <c r="J43" s="32"/>
      <c r="K43" s="32"/>
    </row>
    <row r="45" spans="1:17" ht="15.75" thickBot="1" x14ac:dyDescent="0.3">
      <c r="A45" s="93" t="s">
        <v>1203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1">
        <f>SUM(L5:L44)</f>
        <v>85954156.961099997</v>
      </c>
      <c r="M45" s="91">
        <f>SUM(M5:M44)</f>
        <v>77983165.112849593</v>
      </c>
      <c r="N45" s="91">
        <f>SUM(N5:N44)</f>
        <v>77983165.112849593</v>
      </c>
      <c r="O45" s="91">
        <f t="shared" ref="O45:Q45" si="3">SUM(O5:O44)</f>
        <v>103478072.60444799</v>
      </c>
      <c r="P45" s="91">
        <f t="shared" si="3"/>
        <v>104627583.39904371</v>
      </c>
      <c r="Q45" s="91">
        <f t="shared" si="3"/>
        <v>105787220.15200068</v>
      </c>
    </row>
  </sheetData>
  <sortState xmlns:xlrd2="http://schemas.microsoft.com/office/spreadsheetml/2017/richdata2" ref="A2:AB64">
    <sortCondition ref="D2:D64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S42"/>
  <sheetViews>
    <sheetView zoomScale="110" zoomScaleNormal="110" workbookViewId="0">
      <pane ySplit="4" topLeftCell="A16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35.25" style="35" customWidth="1"/>
    <col min="5" max="5" width="32.375" style="35" hidden="1" customWidth="1"/>
    <col min="6" max="11" width="9.125" style="35" hidden="1" customWidth="1"/>
    <col min="12" max="12" width="13.375" style="37" bestFit="1" customWidth="1"/>
    <col min="13" max="13" width="12.625" style="35" bestFit="1" customWidth="1"/>
    <col min="14" max="17" width="12.6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498</v>
      </c>
      <c r="B3" s="72"/>
      <c r="C3" s="72"/>
      <c r="D3" s="72"/>
    </row>
    <row r="4" spans="1:19" ht="66.7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95" t="s">
        <v>1610</v>
      </c>
      <c r="B5" s="95"/>
      <c r="C5" s="95"/>
      <c r="D5" s="95"/>
      <c r="E5" s="95"/>
      <c r="F5" s="95"/>
      <c r="G5" s="95"/>
      <c r="H5" s="95"/>
    </row>
    <row r="6" spans="1:19" x14ac:dyDescent="0.25">
      <c r="A6" s="31" t="s">
        <v>518</v>
      </c>
      <c r="B6" s="31" t="s">
        <v>290</v>
      </c>
      <c r="C6" s="31" t="s">
        <v>486</v>
      </c>
      <c r="D6" s="31" t="s">
        <v>519</v>
      </c>
      <c r="E6" s="31" t="s">
        <v>497</v>
      </c>
      <c r="F6" s="31" t="s">
        <v>15</v>
      </c>
      <c r="G6" s="31" t="s">
        <v>16</v>
      </c>
      <c r="H6" s="31" t="s">
        <v>498</v>
      </c>
      <c r="I6" s="32" t="s">
        <v>18</v>
      </c>
      <c r="J6" s="32">
        <v>3</v>
      </c>
      <c r="K6" s="32"/>
      <c r="L6" s="43">
        <v>1561500</v>
      </c>
      <c r="M6" s="105">
        <v>350000</v>
      </c>
      <c r="N6" s="105">
        <v>350000</v>
      </c>
      <c r="O6" s="105">
        <v>1500000</v>
      </c>
      <c r="P6" s="105">
        <v>1600000</v>
      </c>
      <c r="Q6" s="105">
        <v>1700000</v>
      </c>
    </row>
    <row r="7" spans="1:19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19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1561500</v>
      </c>
      <c r="M8" s="97">
        <f t="shared" si="0"/>
        <v>350000</v>
      </c>
      <c r="N8" s="97">
        <f t="shared" si="0"/>
        <v>350000</v>
      </c>
      <c r="O8" s="97">
        <f t="shared" si="0"/>
        <v>1500000</v>
      </c>
      <c r="P8" s="97">
        <f t="shared" si="0"/>
        <v>1600000</v>
      </c>
      <c r="Q8" s="97">
        <f t="shared" si="0"/>
        <v>1700000</v>
      </c>
    </row>
    <row r="9" spans="1:19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19" x14ac:dyDescent="0.25">
      <c r="A10" s="31" t="s">
        <v>509</v>
      </c>
      <c r="B10" s="31" t="s">
        <v>11</v>
      </c>
      <c r="C10" s="31" t="s">
        <v>12</v>
      </c>
      <c r="D10" s="31" t="s">
        <v>157</v>
      </c>
      <c r="E10" s="31" t="s">
        <v>497</v>
      </c>
      <c r="F10" s="31" t="s">
        <v>15</v>
      </c>
      <c r="G10" s="31" t="s">
        <v>16</v>
      </c>
      <c r="H10" s="31" t="s">
        <v>498</v>
      </c>
      <c r="I10" s="32" t="s">
        <v>18</v>
      </c>
      <c r="J10" s="32">
        <v>3</v>
      </c>
      <c r="K10" s="32"/>
      <c r="L10" s="34">
        <v>3827736.5074799992</v>
      </c>
      <c r="M10" s="34">
        <v>2822852.1599999997</v>
      </c>
      <c r="N10" s="34">
        <v>2822852.1599999997</v>
      </c>
      <c r="O10" s="34">
        <f>S10</f>
        <v>4043685.2839199994</v>
      </c>
      <c r="P10" s="34">
        <f>O10*1.044</f>
        <v>4221607.4364124797</v>
      </c>
      <c r="Q10" s="34">
        <f>P10*1.045</f>
        <v>4411579.7710510409</v>
      </c>
      <c r="S10" s="145">
        <f>'[1]6113SCM'!$E$15</f>
        <v>4043685.2839199994</v>
      </c>
    </row>
    <row r="11" spans="1:19" hidden="1" x14ac:dyDescent="0.25">
      <c r="A11" s="31" t="s">
        <v>505</v>
      </c>
      <c r="B11" s="31" t="s">
        <v>11</v>
      </c>
      <c r="C11" s="31" t="s">
        <v>12</v>
      </c>
      <c r="D11" s="31" t="s">
        <v>86</v>
      </c>
      <c r="E11" s="31" t="s">
        <v>497</v>
      </c>
      <c r="F11" s="31" t="s">
        <v>37</v>
      </c>
      <c r="G11" s="31" t="s">
        <v>16</v>
      </c>
      <c r="H11" s="31" t="s">
        <v>498</v>
      </c>
      <c r="I11" s="32" t="s">
        <v>38</v>
      </c>
      <c r="J11" s="32">
        <v>1</v>
      </c>
      <c r="K11" s="32"/>
      <c r="L11" s="34">
        <v>0</v>
      </c>
      <c r="M11" s="34">
        <v>0</v>
      </c>
      <c r="N11" s="34">
        <v>0</v>
      </c>
      <c r="O11" s="34">
        <f t="shared" ref="O11:O24" si="1">S11</f>
        <v>0</v>
      </c>
      <c r="P11" s="34">
        <f t="shared" ref="P11:P24" si="2">O11*1.044</f>
        <v>0</v>
      </c>
      <c r="Q11" s="34">
        <f t="shared" ref="Q11:Q24" si="3">P11*1.045</f>
        <v>0</v>
      </c>
      <c r="S11" s="145"/>
    </row>
    <row r="12" spans="1:19" x14ac:dyDescent="0.25">
      <c r="A12" s="31" t="s">
        <v>503</v>
      </c>
      <c r="B12" s="31" t="s">
        <v>11</v>
      </c>
      <c r="C12" s="31" t="s">
        <v>12</v>
      </c>
      <c r="D12" s="31" t="s">
        <v>1630</v>
      </c>
      <c r="E12" s="31" t="s">
        <v>497</v>
      </c>
      <c r="F12" s="31" t="s">
        <v>15</v>
      </c>
      <c r="G12" s="31" t="s">
        <v>16</v>
      </c>
      <c r="H12" s="31" t="s">
        <v>498</v>
      </c>
      <c r="I12" s="32" t="s">
        <v>18</v>
      </c>
      <c r="J12" s="32">
        <v>3</v>
      </c>
      <c r="K12" s="32"/>
      <c r="L12" s="34">
        <v>75000</v>
      </c>
      <c r="M12" s="34">
        <v>50000</v>
      </c>
      <c r="N12" s="34">
        <v>50000</v>
      </c>
      <c r="O12" s="34">
        <v>50000</v>
      </c>
      <c r="P12" s="34">
        <f t="shared" si="2"/>
        <v>52200</v>
      </c>
      <c r="Q12" s="34">
        <f t="shared" si="3"/>
        <v>54548.999999999993</v>
      </c>
      <c r="S12" s="145"/>
    </row>
    <row r="13" spans="1:19" x14ac:dyDescent="0.25">
      <c r="A13" s="31" t="s">
        <v>506</v>
      </c>
      <c r="B13" s="31" t="s">
        <v>11</v>
      </c>
      <c r="C13" s="31" t="s">
        <v>12</v>
      </c>
      <c r="D13" s="31" t="s">
        <v>153</v>
      </c>
      <c r="E13" s="31" t="s">
        <v>497</v>
      </c>
      <c r="F13" s="31" t="s">
        <v>15</v>
      </c>
      <c r="G13" s="31" t="s">
        <v>16</v>
      </c>
      <c r="H13" s="31" t="s">
        <v>498</v>
      </c>
      <c r="I13" s="32" t="s">
        <v>18</v>
      </c>
      <c r="J13" s="32">
        <v>3</v>
      </c>
      <c r="K13" s="32"/>
      <c r="L13" s="34">
        <v>318978.04228999995</v>
      </c>
      <c r="M13" s="34">
        <v>274841.36</v>
      </c>
      <c r="N13" s="34">
        <v>274841.36</v>
      </c>
      <c r="O13" s="34">
        <f t="shared" si="1"/>
        <v>336973.77366000001</v>
      </c>
      <c r="P13" s="34">
        <f t="shared" si="2"/>
        <v>351800.61970104004</v>
      </c>
      <c r="Q13" s="34">
        <f t="shared" si="3"/>
        <v>367631.64758758683</v>
      </c>
      <c r="S13" s="145">
        <f>'[1]6113SCM'!$I$15</f>
        <v>336973.77366000001</v>
      </c>
    </row>
    <row r="14" spans="1:19" x14ac:dyDescent="0.25">
      <c r="A14" s="31" t="s">
        <v>501</v>
      </c>
      <c r="B14" s="31" t="s">
        <v>11</v>
      </c>
      <c r="C14" s="31" t="s">
        <v>12</v>
      </c>
      <c r="D14" s="31" t="s">
        <v>41</v>
      </c>
      <c r="E14" s="31" t="s">
        <v>497</v>
      </c>
      <c r="F14" s="31" t="s">
        <v>15</v>
      </c>
      <c r="G14" s="31" t="s">
        <v>16</v>
      </c>
      <c r="H14" s="31" t="s">
        <v>498</v>
      </c>
      <c r="I14" s="32" t="s">
        <v>18</v>
      </c>
      <c r="J14" s="32">
        <v>3</v>
      </c>
      <c r="K14" s="32"/>
      <c r="L14" s="34">
        <v>842102.03164559987</v>
      </c>
      <c r="M14" s="34">
        <v>578781.60759999999</v>
      </c>
      <c r="N14" s="34">
        <v>578781.60759999999</v>
      </c>
      <c r="O14" s="34">
        <f t="shared" si="1"/>
        <v>889610.76246240002</v>
      </c>
      <c r="P14" s="34">
        <f t="shared" si="2"/>
        <v>928753.63601074566</v>
      </c>
      <c r="Q14" s="34">
        <f t="shared" si="3"/>
        <v>970547.54963122914</v>
      </c>
      <c r="S14" s="145">
        <f>'[1]6113SCM'!$K$15</f>
        <v>889610.76246240002</v>
      </c>
    </row>
    <row r="15" spans="1:19" x14ac:dyDescent="0.25">
      <c r="A15" s="31" t="s">
        <v>500</v>
      </c>
      <c r="B15" s="31" t="s">
        <v>11</v>
      </c>
      <c r="C15" s="31" t="s">
        <v>12</v>
      </c>
      <c r="D15" s="31" t="s">
        <v>36</v>
      </c>
      <c r="E15" s="31" t="s">
        <v>497</v>
      </c>
      <c r="F15" s="31" t="s">
        <v>15</v>
      </c>
      <c r="G15" s="31" t="s">
        <v>16</v>
      </c>
      <c r="H15" s="31" t="s">
        <v>498</v>
      </c>
      <c r="I15" s="32" t="s">
        <v>18</v>
      </c>
      <c r="J15" s="32">
        <v>3</v>
      </c>
      <c r="K15" s="32"/>
      <c r="L15" s="34">
        <v>205149.6</v>
      </c>
      <c r="M15" s="34">
        <v>149007.6</v>
      </c>
      <c r="N15" s="34">
        <v>149007.6</v>
      </c>
      <c r="O15" s="34">
        <f t="shared" si="1"/>
        <v>198590.4</v>
      </c>
      <c r="P15" s="34">
        <f t="shared" si="2"/>
        <v>207328.37760000001</v>
      </c>
      <c r="Q15" s="34">
        <f t="shared" si="3"/>
        <v>216658.15459200001</v>
      </c>
      <c r="S15" s="145">
        <f>'[1]6113SCM'!$L$15</f>
        <v>198590.4</v>
      </c>
    </row>
    <row r="16" spans="1:19" x14ac:dyDescent="0.25">
      <c r="A16" s="31" t="s">
        <v>508</v>
      </c>
      <c r="B16" s="31" t="s">
        <v>11</v>
      </c>
      <c r="C16" s="31" t="s">
        <v>12</v>
      </c>
      <c r="D16" s="31" t="s">
        <v>47</v>
      </c>
      <c r="E16" s="31" t="s">
        <v>497</v>
      </c>
      <c r="F16" s="31" t="s">
        <v>15</v>
      </c>
      <c r="G16" s="31" t="s">
        <v>16</v>
      </c>
      <c r="H16" s="31" t="s">
        <v>498</v>
      </c>
      <c r="I16" s="32" t="s">
        <v>18</v>
      </c>
      <c r="J16" s="32">
        <v>3</v>
      </c>
      <c r="K16" s="32"/>
      <c r="L16" s="34">
        <v>702588.09000000008</v>
      </c>
      <c r="M16" s="34">
        <v>610540.32499999995</v>
      </c>
      <c r="N16" s="34">
        <v>610540.32499999995</v>
      </c>
      <c r="O16" s="34">
        <f t="shared" si="1"/>
        <v>756285.49796999991</v>
      </c>
      <c r="P16" s="34">
        <f t="shared" si="2"/>
        <v>789562.05988067994</v>
      </c>
      <c r="Q16" s="34">
        <f t="shared" si="3"/>
        <v>825092.35257531051</v>
      </c>
      <c r="S16" s="145">
        <f>'[1]6113SCM'!$M$15</f>
        <v>756285.49796999991</v>
      </c>
    </row>
    <row r="17" spans="1:19" x14ac:dyDescent="0.25">
      <c r="A17" s="31" t="s">
        <v>525</v>
      </c>
      <c r="B17" s="31" t="s">
        <v>11</v>
      </c>
      <c r="C17" s="31" t="s">
        <v>12</v>
      </c>
      <c r="D17" s="31" t="s">
        <v>45</v>
      </c>
      <c r="E17" s="31" t="s">
        <v>497</v>
      </c>
      <c r="F17" s="31" t="s">
        <v>37</v>
      </c>
      <c r="G17" s="31" t="s">
        <v>16</v>
      </c>
      <c r="H17" s="31" t="s">
        <v>498</v>
      </c>
      <c r="I17" s="32" t="s">
        <v>38</v>
      </c>
      <c r="J17" s="32">
        <v>3</v>
      </c>
      <c r="K17" s="32"/>
      <c r="L17" s="34">
        <v>41874.720000000001</v>
      </c>
      <c r="M17" s="34">
        <v>33804.44</v>
      </c>
      <c r="N17" s="34">
        <v>33804.44</v>
      </c>
      <c r="O17" s="34">
        <f t="shared" si="1"/>
        <v>44770.354919999998</v>
      </c>
      <c r="P17" s="34">
        <f t="shared" si="2"/>
        <v>46740.250536480002</v>
      </c>
      <c r="Q17" s="34">
        <f t="shared" si="3"/>
        <v>48843.561810621599</v>
      </c>
      <c r="S17" s="145">
        <f>'[1]6113SCM'!$N$15</f>
        <v>44770.354919999998</v>
      </c>
    </row>
    <row r="18" spans="1:19" x14ac:dyDescent="0.25">
      <c r="A18" s="31" t="s">
        <v>507</v>
      </c>
      <c r="B18" s="31" t="s">
        <v>11</v>
      </c>
      <c r="C18" s="31" t="s">
        <v>12</v>
      </c>
      <c r="D18" s="31" t="s">
        <v>156</v>
      </c>
      <c r="E18" s="31" t="s">
        <v>497</v>
      </c>
      <c r="F18" s="31" t="s">
        <v>37</v>
      </c>
      <c r="G18" s="31" t="s">
        <v>16</v>
      </c>
      <c r="H18" s="31" t="s">
        <v>498</v>
      </c>
      <c r="I18" s="32" t="s">
        <v>38</v>
      </c>
      <c r="J18" s="32">
        <v>1</v>
      </c>
      <c r="K18" s="32"/>
      <c r="L18" s="34">
        <v>0</v>
      </c>
      <c r="M18" s="34">
        <v>5787.06</v>
      </c>
      <c r="N18" s="34">
        <v>5787.06</v>
      </c>
      <c r="O18" s="34">
        <f t="shared" si="1"/>
        <v>0</v>
      </c>
      <c r="P18" s="34">
        <f t="shared" si="2"/>
        <v>0</v>
      </c>
      <c r="Q18" s="34">
        <f t="shared" si="3"/>
        <v>0</v>
      </c>
      <c r="S18" s="145">
        <f>'[1]6113SCM'!$P$15</f>
        <v>0</v>
      </c>
    </row>
    <row r="19" spans="1:19" x14ac:dyDescent="0.25">
      <c r="A19" s="31" t="s">
        <v>499</v>
      </c>
      <c r="B19" s="31" t="s">
        <v>11</v>
      </c>
      <c r="C19" s="31" t="s">
        <v>12</v>
      </c>
      <c r="D19" s="31" t="s">
        <v>151</v>
      </c>
      <c r="E19" s="31" t="s">
        <v>497</v>
      </c>
      <c r="F19" s="31" t="s">
        <v>15</v>
      </c>
      <c r="G19" s="31" t="s">
        <v>16</v>
      </c>
      <c r="H19" s="31" t="s">
        <v>498</v>
      </c>
      <c r="I19" s="32" t="s">
        <v>18</v>
      </c>
      <c r="J19" s="32">
        <v>3</v>
      </c>
      <c r="K19" s="32"/>
      <c r="L19" s="34">
        <v>1306.7999999999997</v>
      </c>
      <c r="M19" s="34">
        <v>906.4</v>
      </c>
      <c r="N19" s="34">
        <v>906.4</v>
      </c>
      <c r="O19" s="34">
        <f t="shared" si="1"/>
        <v>1359.6</v>
      </c>
      <c r="P19" s="34">
        <f t="shared" si="2"/>
        <v>1419.4223999999999</v>
      </c>
      <c r="Q19" s="34">
        <f t="shared" si="3"/>
        <v>1483.2964079999999</v>
      </c>
      <c r="S19" s="145">
        <f>'[1]6113SCM'!$R$15</f>
        <v>1359.6</v>
      </c>
    </row>
    <row r="20" spans="1:19" x14ac:dyDescent="0.25">
      <c r="A20" s="31" t="s">
        <v>504</v>
      </c>
      <c r="B20" s="31" t="s">
        <v>11</v>
      </c>
      <c r="C20" s="31" t="s">
        <v>12</v>
      </c>
      <c r="D20" s="31" t="s">
        <v>155</v>
      </c>
      <c r="E20" s="31" t="s">
        <v>497</v>
      </c>
      <c r="F20" s="31" t="s">
        <v>37</v>
      </c>
      <c r="G20" s="31" t="s">
        <v>16</v>
      </c>
      <c r="H20" s="31" t="s">
        <v>498</v>
      </c>
      <c r="I20" s="32" t="s">
        <v>38</v>
      </c>
      <c r="J20" s="32">
        <v>1</v>
      </c>
      <c r="K20" s="32"/>
      <c r="L20" s="34">
        <v>37140.826560000001</v>
      </c>
      <c r="M20" s="34">
        <v>37140.826560000001</v>
      </c>
      <c r="N20" s="34">
        <v>37140.826560000001</v>
      </c>
      <c r="O20" s="34">
        <f t="shared" si="1"/>
        <v>24967.35</v>
      </c>
      <c r="P20" s="34">
        <f t="shared" si="2"/>
        <v>26065.913399999998</v>
      </c>
      <c r="Q20" s="34">
        <f t="shared" si="3"/>
        <v>27238.879502999996</v>
      </c>
      <c r="S20" s="145">
        <f>'[2]6113SCM'!$J$15</f>
        <v>24967.35</v>
      </c>
    </row>
    <row r="21" spans="1:19" x14ac:dyDescent="0.25">
      <c r="A21" s="31" t="s">
        <v>502</v>
      </c>
      <c r="B21" s="31" t="s">
        <v>11</v>
      </c>
      <c r="C21" s="31" t="s">
        <v>12</v>
      </c>
      <c r="D21" s="31" t="s">
        <v>43</v>
      </c>
      <c r="E21" s="31" t="s">
        <v>497</v>
      </c>
      <c r="F21" s="31" t="s">
        <v>15</v>
      </c>
      <c r="G21" s="31" t="s">
        <v>16</v>
      </c>
      <c r="H21" s="31" t="s">
        <v>498</v>
      </c>
      <c r="I21" s="32" t="s">
        <v>18</v>
      </c>
      <c r="J21" s="32">
        <v>3</v>
      </c>
      <c r="K21" s="32"/>
      <c r="L21" s="34">
        <v>16470.960000000003</v>
      </c>
      <c r="M21" s="34">
        <v>18321.181000000004</v>
      </c>
      <c r="N21" s="34">
        <v>18321.181000000004</v>
      </c>
      <c r="O21" s="34">
        <f t="shared" si="1"/>
        <v>16470.960000000003</v>
      </c>
      <c r="P21" s="34">
        <f t="shared" si="2"/>
        <v>17195.682240000002</v>
      </c>
      <c r="Q21" s="34">
        <f t="shared" si="3"/>
        <v>17969.487940800002</v>
      </c>
      <c r="S21" s="145">
        <f>'[1]6113SCM'!$T$15</f>
        <v>16470.960000000003</v>
      </c>
    </row>
    <row r="22" spans="1:19" x14ac:dyDescent="0.25">
      <c r="A22" s="31" t="s">
        <v>529</v>
      </c>
      <c r="B22" s="31" t="s">
        <v>11</v>
      </c>
      <c r="C22" s="31" t="s">
        <v>12</v>
      </c>
      <c r="D22" s="31" t="s">
        <v>162</v>
      </c>
      <c r="E22" s="31" t="s">
        <v>497</v>
      </c>
      <c r="F22" s="31" t="s">
        <v>37</v>
      </c>
      <c r="G22" s="31" t="s">
        <v>16</v>
      </c>
      <c r="H22" s="31" t="s">
        <v>498</v>
      </c>
      <c r="I22" s="32" t="s">
        <v>38</v>
      </c>
      <c r="J22" s="32">
        <v>1</v>
      </c>
      <c r="K22" s="32"/>
      <c r="L22" s="34">
        <v>78168.429999999993</v>
      </c>
      <c r="M22" s="34">
        <v>78168.429999999993</v>
      </c>
      <c r="N22" s="34">
        <v>78168.429999999993</v>
      </c>
      <c r="O22" s="34">
        <f t="shared" si="1"/>
        <v>80673.38</v>
      </c>
      <c r="P22" s="34">
        <f t="shared" si="2"/>
        <v>84223.008720000013</v>
      </c>
      <c r="Q22" s="34">
        <f t="shared" si="3"/>
        <v>88013.044112400006</v>
      </c>
      <c r="S22" s="145">
        <f>'[1]6113SCM'!$F$15</f>
        <v>80673.38</v>
      </c>
    </row>
    <row r="23" spans="1:19" x14ac:dyDescent="0.25">
      <c r="A23" s="31"/>
      <c r="B23" s="31"/>
      <c r="C23" s="31"/>
      <c r="D23" s="31"/>
      <c r="E23" s="31"/>
      <c r="F23" s="31"/>
      <c r="G23" s="31"/>
      <c r="H23" s="31"/>
      <c r="I23" s="32"/>
      <c r="J23" s="32"/>
      <c r="K23" s="32"/>
      <c r="L23" s="34"/>
      <c r="M23" s="34"/>
      <c r="N23" s="34"/>
      <c r="O23" s="34"/>
      <c r="P23" s="34"/>
      <c r="Q23" s="34"/>
      <c r="S23" s="145"/>
    </row>
    <row r="24" spans="1:19" x14ac:dyDescent="0.25">
      <c r="A24" s="31" t="s">
        <v>496</v>
      </c>
      <c r="B24" s="31" t="s">
        <v>11</v>
      </c>
      <c r="C24" s="31" t="s">
        <v>12</v>
      </c>
      <c r="D24" s="31" t="s">
        <v>30</v>
      </c>
      <c r="E24" s="31" t="s">
        <v>497</v>
      </c>
      <c r="F24" s="31" t="s">
        <v>15</v>
      </c>
      <c r="G24" s="31" t="s">
        <v>16</v>
      </c>
      <c r="H24" s="31" t="s">
        <v>498</v>
      </c>
      <c r="I24" s="32" t="s">
        <v>18</v>
      </c>
      <c r="J24" s="32">
        <v>3</v>
      </c>
      <c r="K24" s="32"/>
      <c r="L24" s="34">
        <v>38277.3650748</v>
      </c>
      <c r="M24" s="34">
        <v>32026.990800000007</v>
      </c>
      <c r="N24" s="34">
        <v>32026.990800000007</v>
      </c>
      <c r="O24" s="34">
        <f t="shared" si="1"/>
        <v>40436.852839200001</v>
      </c>
      <c r="P24" s="34">
        <f t="shared" si="2"/>
        <v>42216.074364124805</v>
      </c>
      <c r="Q24" s="34">
        <f t="shared" si="3"/>
        <v>44115.797710510415</v>
      </c>
      <c r="S24" s="145">
        <f>'[1]6113SCM'!$Q$15</f>
        <v>40436.852839200001</v>
      </c>
    </row>
    <row r="25" spans="1:19" x14ac:dyDescent="0.25">
      <c r="A25" s="31" t="s">
        <v>510</v>
      </c>
      <c r="B25" s="31" t="s">
        <v>11</v>
      </c>
      <c r="C25" s="31" t="s">
        <v>12</v>
      </c>
      <c r="D25" s="31" t="s">
        <v>1661</v>
      </c>
      <c r="E25" s="31" t="s">
        <v>497</v>
      </c>
      <c r="F25" s="31" t="s">
        <v>15</v>
      </c>
      <c r="G25" s="31" t="s">
        <v>16</v>
      </c>
      <c r="H25" s="31" t="s">
        <v>498</v>
      </c>
      <c r="I25" s="32" t="s">
        <v>18</v>
      </c>
      <c r="J25" s="32">
        <v>3</v>
      </c>
      <c r="K25" s="32"/>
      <c r="L25" s="43">
        <v>250000</v>
      </c>
      <c r="M25" s="43">
        <v>200000</v>
      </c>
      <c r="N25" s="43">
        <v>200000</v>
      </c>
      <c r="O25" s="43">
        <v>250000</v>
      </c>
      <c r="P25" s="43">
        <v>260000</v>
      </c>
      <c r="Q25" s="43">
        <v>270000</v>
      </c>
    </row>
    <row r="26" spans="1:19" x14ac:dyDescent="0.25">
      <c r="A26" s="31" t="s">
        <v>512</v>
      </c>
      <c r="B26" s="31" t="s">
        <v>11</v>
      </c>
      <c r="C26" s="31" t="s">
        <v>12</v>
      </c>
      <c r="D26" s="31" t="s">
        <v>20</v>
      </c>
      <c r="E26" s="31" t="s">
        <v>497</v>
      </c>
      <c r="F26" s="31" t="s">
        <v>15</v>
      </c>
      <c r="G26" s="31" t="s">
        <v>16</v>
      </c>
      <c r="H26" s="31" t="s">
        <v>498</v>
      </c>
      <c r="I26" s="32" t="s">
        <v>18</v>
      </c>
      <c r="J26" s="32">
        <v>3</v>
      </c>
      <c r="K26" s="32"/>
      <c r="L26" s="43">
        <v>4000</v>
      </c>
      <c r="M26" s="43">
        <v>4000</v>
      </c>
      <c r="N26" s="43">
        <v>4000</v>
      </c>
      <c r="O26" s="43">
        <v>4000</v>
      </c>
      <c r="P26" s="43">
        <v>4000</v>
      </c>
      <c r="Q26" s="43">
        <v>4000</v>
      </c>
    </row>
    <row r="27" spans="1:19" x14ac:dyDescent="0.25">
      <c r="A27" s="31" t="s">
        <v>511</v>
      </c>
      <c r="B27" s="31" t="s">
        <v>11</v>
      </c>
      <c r="C27" s="31" t="s">
        <v>12</v>
      </c>
      <c r="D27" s="31" t="s">
        <v>24</v>
      </c>
      <c r="E27" s="31" t="s">
        <v>497</v>
      </c>
      <c r="F27" s="31" t="s">
        <v>15</v>
      </c>
      <c r="G27" s="31" t="s">
        <v>16</v>
      </c>
      <c r="H27" s="31" t="s">
        <v>498</v>
      </c>
      <c r="I27" s="32" t="s">
        <v>18</v>
      </c>
      <c r="J27" s="32">
        <v>3</v>
      </c>
      <c r="K27" s="32"/>
      <c r="L27" s="43">
        <v>8000</v>
      </c>
      <c r="M27" s="43">
        <v>5000</v>
      </c>
      <c r="N27" s="43">
        <v>5000</v>
      </c>
      <c r="O27" s="43">
        <v>6000</v>
      </c>
      <c r="P27" s="43">
        <v>7000</v>
      </c>
      <c r="Q27" s="43">
        <v>8000</v>
      </c>
    </row>
    <row r="28" spans="1:19" x14ac:dyDescent="0.25">
      <c r="A28" s="31" t="s">
        <v>513</v>
      </c>
      <c r="B28" s="31" t="s">
        <v>11</v>
      </c>
      <c r="C28" s="31" t="s">
        <v>12</v>
      </c>
      <c r="D28" s="31" t="s">
        <v>28</v>
      </c>
      <c r="E28" s="31" t="s">
        <v>497</v>
      </c>
      <c r="F28" s="31" t="s">
        <v>15</v>
      </c>
      <c r="G28" s="31" t="s">
        <v>16</v>
      </c>
      <c r="H28" s="31" t="s">
        <v>498</v>
      </c>
      <c r="I28" s="32" t="s">
        <v>18</v>
      </c>
      <c r="J28" s="32">
        <v>3</v>
      </c>
      <c r="K28" s="32"/>
      <c r="L28" s="43">
        <v>50000</v>
      </c>
      <c r="M28" s="43">
        <v>40000</v>
      </c>
      <c r="N28" s="43">
        <v>40000</v>
      </c>
      <c r="O28" s="43">
        <v>50000</v>
      </c>
      <c r="P28" s="43">
        <v>50000</v>
      </c>
      <c r="Q28" s="43">
        <v>50000</v>
      </c>
    </row>
    <row r="29" spans="1:19" hidden="1" x14ac:dyDescent="0.25">
      <c r="A29" s="31" t="s">
        <v>524</v>
      </c>
      <c r="B29" s="31" t="s">
        <v>11</v>
      </c>
      <c r="C29" s="31" t="s">
        <v>203</v>
      </c>
      <c r="D29" s="31" t="s">
        <v>28</v>
      </c>
      <c r="E29" s="31" t="s">
        <v>497</v>
      </c>
      <c r="F29" s="31" t="s">
        <v>37</v>
      </c>
      <c r="G29" s="31" t="s">
        <v>16</v>
      </c>
      <c r="H29" s="31" t="s">
        <v>498</v>
      </c>
      <c r="I29" s="32" t="s">
        <v>38</v>
      </c>
      <c r="J29" s="32">
        <v>1</v>
      </c>
      <c r="K29" s="32"/>
      <c r="L29" s="43">
        <v>0</v>
      </c>
      <c r="M29" s="43">
        <v>0</v>
      </c>
      <c r="N29" s="43">
        <v>0</v>
      </c>
      <c r="O29" s="43"/>
      <c r="P29" s="43"/>
      <c r="Q29" s="43"/>
    </row>
    <row r="30" spans="1:19" x14ac:dyDescent="0.25">
      <c r="A30" s="31" t="s">
        <v>516</v>
      </c>
      <c r="B30" s="31" t="s">
        <v>11</v>
      </c>
      <c r="C30" s="31" t="s">
        <v>12</v>
      </c>
      <c r="D30" s="31" t="s">
        <v>13</v>
      </c>
      <c r="E30" s="31" t="s">
        <v>497</v>
      </c>
      <c r="F30" s="31" t="s">
        <v>37</v>
      </c>
      <c r="G30" s="31" t="s">
        <v>16</v>
      </c>
      <c r="H30" s="31" t="s">
        <v>498</v>
      </c>
      <c r="I30" s="32" t="s">
        <v>38</v>
      </c>
      <c r="J30" s="32">
        <v>1</v>
      </c>
      <c r="K30" s="32"/>
      <c r="L30" s="43">
        <v>60000</v>
      </c>
      <c r="M30" s="43">
        <v>60000</v>
      </c>
      <c r="N30" s="43">
        <v>60000</v>
      </c>
      <c r="O30" s="43">
        <v>60000</v>
      </c>
      <c r="P30" s="43">
        <v>60000</v>
      </c>
      <c r="Q30" s="43">
        <v>60000</v>
      </c>
    </row>
    <row r="31" spans="1:19" hidden="1" x14ac:dyDescent="0.25">
      <c r="A31" s="31" t="s">
        <v>522</v>
      </c>
      <c r="B31" s="31" t="s">
        <v>11</v>
      </c>
      <c r="C31" s="31" t="s">
        <v>228</v>
      </c>
      <c r="D31" s="31" t="s">
        <v>13</v>
      </c>
      <c r="E31" s="31" t="s">
        <v>497</v>
      </c>
      <c r="F31" s="31" t="s">
        <v>15</v>
      </c>
      <c r="G31" s="31" t="s">
        <v>16</v>
      </c>
      <c r="H31" s="31" t="s">
        <v>498</v>
      </c>
      <c r="I31" s="32" t="s">
        <v>18</v>
      </c>
      <c r="J31" s="32">
        <v>3</v>
      </c>
      <c r="K31" s="32"/>
      <c r="L31" s="43"/>
      <c r="M31" s="43"/>
      <c r="N31" s="43"/>
      <c r="O31" s="43"/>
      <c r="P31" s="43"/>
      <c r="Q31" s="43"/>
    </row>
    <row r="32" spans="1:19" hidden="1" x14ac:dyDescent="0.25">
      <c r="A32" s="31" t="s">
        <v>515</v>
      </c>
      <c r="B32" s="31" t="s">
        <v>11</v>
      </c>
      <c r="C32" s="31" t="s">
        <v>12</v>
      </c>
      <c r="D32" s="31" t="s">
        <v>32</v>
      </c>
      <c r="E32" s="31" t="s">
        <v>497</v>
      </c>
      <c r="F32" s="31" t="s">
        <v>37</v>
      </c>
      <c r="G32" s="31" t="s">
        <v>16</v>
      </c>
      <c r="H32" s="31" t="s">
        <v>498</v>
      </c>
      <c r="I32" s="32" t="s">
        <v>38</v>
      </c>
      <c r="J32" s="32">
        <v>1</v>
      </c>
      <c r="K32" s="32"/>
      <c r="L32" s="43"/>
      <c r="M32" s="43"/>
      <c r="N32" s="43"/>
      <c r="O32" s="43"/>
      <c r="P32" s="43"/>
      <c r="Q32" s="43"/>
    </row>
    <row r="33" spans="1:19" x14ac:dyDescent="0.25">
      <c r="A33" s="31" t="s">
        <v>521</v>
      </c>
      <c r="B33" s="31" t="s">
        <v>11</v>
      </c>
      <c r="C33" s="31" t="s">
        <v>228</v>
      </c>
      <c r="D33" s="31" t="s">
        <v>32</v>
      </c>
      <c r="E33" s="31" t="s">
        <v>497</v>
      </c>
      <c r="F33" s="31" t="s">
        <v>15</v>
      </c>
      <c r="G33" s="31" t="s">
        <v>16</v>
      </c>
      <c r="H33" s="31" t="s">
        <v>498</v>
      </c>
      <c r="I33" s="32" t="s">
        <v>18</v>
      </c>
      <c r="J33" s="32">
        <v>3</v>
      </c>
      <c r="K33" s="32"/>
      <c r="L33" s="43">
        <v>3000</v>
      </c>
      <c r="M33" s="43">
        <v>0</v>
      </c>
      <c r="N33" s="43">
        <v>0</v>
      </c>
      <c r="O33" s="43">
        <v>2000</v>
      </c>
      <c r="P33" s="43">
        <v>2000</v>
      </c>
      <c r="Q33" s="43">
        <v>2000</v>
      </c>
    </row>
    <row r="34" spans="1:19" hidden="1" x14ac:dyDescent="0.25">
      <c r="A34" s="31" t="s">
        <v>514</v>
      </c>
      <c r="B34" s="31" t="s">
        <v>11</v>
      </c>
      <c r="C34" s="31" t="s">
        <v>12</v>
      </c>
      <c r="D34" s="31" t="s">
        <v>26</v>
      </c>
      <c r="E34" s="31" t="s">
        <v>497</v>
      </c>
      <c r="F34" s="31" t="s">
        <v>15</v>
      </c>
      <c r="G34" s="31" t="s">
        <v>16</v>
      </c>
      <c r="H34" s="31" t="s">
        <v>498</v>
      </c>
      <c r="I34" s="32" t="s">
        <v>18</v>
      </c>
      <c r="J34" s="32">
        <v>3</v>
      </c>
      <c r="K34" s="32"/>
      <c r="L34" s="43"/>
      <c r="M34" s="43"/>
      <c r="N34" s="43"/>
      <c r="O34" s="43"/>
      <c r="P34" s="43"/>
      <c r="Q34" s="43"/>
    </row>
    <row r="35" spans="1:19" x14ac:dyDescent="0.25">
      <c r="A35" s="31" t="s">
        <v>520</v>
      </c>
      <c r="B35" s="31" t="s">
        <v>11</v>
      </c>
      <c r="C35" s="31" t="s">
        <v>203</v>
      </c>
      <c r="D35" s="31" t="s">
        <v>26</v>
      </c>
      <c r="E35" s="31" t="s">
        <v>497</v>
      </c>
      <c r="F35" s="31" t="s">
        <v>37</v>
      </c>
      <c r="G35" s="31" t="s">
        <v>16</v>
      </c>
      <c r="H35" s="31" t="s">
        <v>498</v>
      </c>
      <c r="I35" s="32" t="s">
        <v>38</v>
      </c>
      <c r="J35" s="32">
        <v>1</v>
      </c>
      <c r="K35" s="32"/>
      <c r="L35" s="43">
        <v>2000</v>
      </c>
      <c r="M35" s="43">
        <v>0</v>
      </c>
      <c r="N35" s="43">
        <v>0</v>
      </c>
      <c r="O35" s="43">
        <v>2000</v>
      </c>
      <c r="P35" s="43">
        <v>2000</v>
      </c>
      <c r="Q35" s="43">
        <v>2000</v>
      </c>
    </row>
    <row r="36" spans="1:19" x14ac:dyDescent="0.25">
      <c r="A36" s="31" t="s">
        <v>517</v>
      </c>
      <c r="B36" s="31" t="s">
        <v>11</v>
      </c>
      <c r="C36" s="31" t="s">
        <v>12</v>
      </c>
      <c r="D36" s="31" t="s">
        <v>22</v>
      </c>
      <c r="E36" s="31" t="s">
        <v>497</v>
      </c>
      <c r="F36" s="31" t="s">
        <v>37</v>
      </c>
      <c r="G36" s="31" t="s">
        <v>16</v>
      </c>
      <c r="H36" s="31" t="s">
        <v>498</v>
      </c>
      <c r="I36" s="32" t="s">
        <v>38</v>
      </c>
      <c r="J36" s="32">
        <v>1</v>
      </c>
      <c r="K36" s="32"/>
      <c r="L36" s="43">
        <v>11000</v>
      </c>
      <c r="M36" s="43">
        <v>22000</v>
      </c>
      <c r="N36" s="43">
        <v>22000</v>
      </c>
      <c r="O36" s="43">
        <v>23000</v>
      </c>
      <c r="P36" s="43">
        <v>24000</v>
      </c>
      <c r="Q36" s="43">
        <v>25000</v>
      </c>
    </row>
    <row r="37" spans="1:19" hidden="1" x14ac:dyDescent="0.25">
      <c r="A37" s="31" t="s">
        <v>523</v>
      </c>
      <c r="B37" s="31" t="s">
        <v>11</v>
      </c>
      <c r="C37" s="31" t="s">
        <v>228</v>
      </c>
      <c r="D37" s="31" t="s">
        <v>22</v>
      </c>
      <c r="E37" s="31" t="s">
        <v>497</v>
      </c>
      <c r="F37" s="31" t="s">
        <v>15</v>
      </c>
      <c r="G37" s="31" t="s">
        <v>16</v>
      </c>
      <c r="H37" s="31" t="s">
        <v>498</v>
      </c>
      <c r="I37" s="32" t="s">
        <v>18</v>
      </c>
      <c r="J37" s="32">
        <v>3</v>
      </c>
      <c r="K37" s="32"/>
      <c r="L37" s="43">
        <v>0</v>
      </c>
      <c r="M37" s="43"/>
      <c r="N37" s="43"/>
      <c r="O37" s="43"/>
      <c r="P37" s="43"/>
      <c r="Q37" s="43"/>
    </row>
    <row r="38" spans="1:19" s="107" customFormat="1" x14ac:dyDescent="0.25">
      <c r="A38" s="50" t="s">
        <v>2119</v>
      </c>
      <c r="B38" s="52"/>
      <c r="C38" s="52"/>
      <c r="D38" s="52" t="s">
        <v>1678</v>
      </c>
      <c r="E38" s="52"/>
      <c r="F38" s="52"/>
      <c r="G38" s="52"/>
      <c r="H38" s="52"/>
      <c r="I38" s="104"/>
      <c r="J38" s="104"/>
      <c r="K38" s="104"/>
      <c r="L38" s="105">
        <v>900000</v>
      </c>
      <c r="M38" s="105">
        <v>900000</v>
      </c>
      <c r="N38" s="105">
        <v>900000</v>
      </c>
      <c r="O38" s="105">
        <v>950000</v>
      </c>
      <c r="P38" s="105">
        <v>950000</v>
      </c>
      <c r="Q38" s="105">
        <v>970000</v>
      </c>
      <c r="S38" s="106"/>
    </row>
    <row r="39" spans="1:19" x14ac:dyDescent="0.25">
      <c r="A39" s="50" t="s">
        <v>2120</v>
      </c>
      <c r="B39" s="31"/>
      <c r="C39" s="31"/>
      <c r="D39" s="31" t="s">
        <v>1642</v>
      </c>
      <c r="E39" s="31"/>
      <c r="F39" s="31"/>
      <c r="G39" s="31"/>
      <c r="H39" s="31"/>
      <c r="I39" s="32"/>
      <c r="J39" s="32"/>
      <c r="K39" s="32"/>
      <c r="L39" s="43">
        <v>500000</v>
      </c>
      <c r="M39" s="43">
        <v>500000</v>
      </c>
      <c r="N39" s="43">
        <v>500000</v>
      </c>
      <c r="O39" s="43">
        <v>550000</v>
      </c>
      <c r="P39" s="43">
        <v>550000</v>
      </c>
      <c r="Q39" s="43">
        <v>570000</v>
      </c>
    </row>
    <row r="40" spans="1:19" s="171" customFormat="1" x14ac:dyDescent="0.25">
      <c r="A40" s="169" t="s">
        <v>2255</v>
      </c>
      <c r="B40" s="169"/>
      <c r="C40" s="169"/>
      <c r="D40" s="169" t="s">
        <v>1679</v>
      </c>
      <c r="E40" s="169"/>
      <c r="F40" s="169"/>
      <c r="G40" s="169"/>
      <c r="H40" s="169"/>
      <c r="I40" s="170"/>
      <c r="J40" s="170"/>
      <c r="K40" s="170"/>
      <c r="L40" s="43">
        <v>0</v>
      </c>
      <c r="M40" s="43">
        <v>0</v>
      </c>
      <c r="N40" s="43">
        <v>0</v>
      </c>
      <c r="O40" s="43">
        <v>1500000</v>
      </c>
      <c r="P40" s="43">
        <v>1500000</v>
      </c>
      <c r="Q40" s="43">
        <v>1500000</v>
      </c>
      <c r="S40" s="37"/>
    </row>
    <row r="42" spans="1:19" ht="15.75" thickBot="1" x14ac:dyDescent="0.3">
      <c r="A42" s="93" t="s">
        <v>1203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49">
        <f>SUM(L10:L41)</f>
        <v>7972793.3730503982</v>
      </c>
      <c r="M42" s="49">
        <f t="shared" ref="M42:Q42" si="4">SUM(M10:M41)</f>
        <v>6423178.3809599988</v>
      </c>
      <c r="N42" s="49">
        <f t="shared" si="4"/>
        <v>6423178.3809599988</v>
      </c>
      <c r="O42" s="49">
        <f t="shared" si="4"/>
        <v>9880824.2157715987</v>
      </c>
      <c r="P42" s="49">
        <f t="shared" si="4"/>
        <v>10178112.481265549</v>
      </c>
      <c r="Q42" s="49">
        <f t="shared" si="4"/>
        <v>10534722.542922501</v>
      </c>
    </row>
  </sheetData>
  <sortState xmlns:xlrd2="http://schemas.microsoft.com/office/spreadsheetml/2017/richdata2" ref="A2:AA35">
    <sortCondition ref="D2:D35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>
      <selection activeCell="H5" sqref="H5"/>
    </sheetView>
  </sheetViews>
  <sheetFormatPr defaultColWidth="8" defaultRowHeight="15.75" x14ac:dyDescent="0.25"/>
  <cols>
    <col min="1" max="1" width="2.375" style="20" customWidth="1"/>
    <col min="2" max="2" width="34.875" style="20" customWidth="1"/>
    <col min="3" max="3" width="2.375" style="20" customWidth="1"/>
    <col min="4" max="4" width="2.125" style="20" customWidth="1"/>
    <col min="5" max="5" width="19" style="20" customWidth="1"/>
    <col min="6" max="6" width="19.25" style="20" customWidth="1"/>
    <col min="7" max="7" width="19.25" style="167" customWidth="1"/>
    <col min="8" max="8" width="19" style="20" customWidth="1"/>
    <col min="9" max="9" width="18" style="20" customWidth="1"/>
    <col min="10" max="10" width="19" style="20" customWidth="1"/>
    <col min="11" max="16384" width="8" style="20"/>
  </cols>
  <sheetData>
    <row r="1" spans="1:10" x14ac:dyDescent="0.25">
      <c r="A1" s="19" t="s">
        <v>1597</v>
      </c>
      <c r="B1" s="19"/>
      <c r="C1" s="19"/>
      <c r="D1" s="19"/>
    </row>
    <row r="2" spans="1:10" x14ac:dyDescent="0.25">
      <c r="A2" s="19" t="s">
        <v>2342</v>
      </c>
      <c r="B2" s="19"/>
      <c r="D2" s="25"/>
      <c r="E2" s="25"/>
    </row>
    <row r="3" spans="1:10" x14ac:dyDescent="0.25">
      <c r="A3" s="19" t="s">
        <v>1600</v>
      </c>
    </row>
    <row r="4" spans="1:10" s="19" customFormat="1" ht="63" customHeight="1" x14ac:dyDescent="0.25">
      <c r="E4" s="48" t="s">
        <v>2193</v>
      </c>
      <c r="F4" s="48" t="s">
        <v>2230</v>
      </c>
      <c r="G4" s="48" t="s">
        <v>2340</v>
      </c>
      <c r="H4" s="48" t="s">
        <v>2343</v>
      </c>
      <c r="I4" s="48" t="s">
        <v>2228</v>
      </c>
      <c r="J4" s="48" t="s">
        <v>2229</v>
      </c>
    </row>
    <row r="5" spans="1:10" x14ac:dyDescent="0.25">
      <c r="B5" s="19" t="s">
        <v>1599</v>
      </c>
    </row>
    <row r="6" spans="1:10" hidden="1" x14ac:dyDescent="0.25">
      <c r="B6" s="20" t="e">
        <f>+#REF!</f>
        <v>#REF!</v>
      </c>
    </row>
    <row r="7" spans="1:10" x14ac:dyDescent="0.25">
      <c r="B7" s="20" t="s">
        <v>280</v>
      </c>
      <c r="E7" s="21">
        <f>'6104_HRD'!L8</f>
        <v>300000</v>
      </c>
      <c r="F7" s="21">
        <f>'6104_HRD'!M8</f>
        <v>300000</v>
      </c>
      <c r="G7" s="168">
        <f>'6104_HRD'!N8</f>
        <v>300000</v>
      </c>
      <c r="H7" s="168">
        <f>'6104_HRD'!O8</f>
        <v>310000</v>
      </c>
      <c r="I7" s="168">
        <f>'6104_HRD'!P8</f>
        <v>320000</v>
      </c>
      <c r="J7" s="168">
        <f>'6104_HRD'!Q8</f>
        <v>330000</v>
      </c>
    </row>
    <row r="8" spans="1:10" x14ac:dyDescent="0.25">
      <c r="B8" s="20" t="s">
        <v>364</v>
      </c>
      <c r="E8" s="21">
        <f>'6107_Property Services'!L9</f>
        <v>48173000</v>
      </c>
      <c r="F8" s="21">
        <f>'6107_Property Services'!M9</f>
        <v>8040000</v>
      </c>
      <c r="G8" s="168">
        <f>'6107_Property Services'!N9</f>
        <v>8040000</v>
      </c>
      <c r="H8" s="168">
        <f>'6107_Property Services'!O9</f>
        <v>8150000</v>
      </c>
      <c r="I8" s="168">
        <f>'6107_Property Services'!P9</f>
        <v>9155000</v>
      </c>
      <c r="J8" s="168">
        <f>'6107_Property Services'!Q9</f>
        <v>9160000</v>
      </c>
    </row>
    <row r="9" spans="1:10" x14ac:dyDescent="0.25">
      <c r="B9" s="20" t="s">
        <v>2105</v>
      </c>
      <c r="E9" s="21">
        <f>'6111_Fleet MGT'!L11</f>
        <v>72000</v>
      </c>
      <c r="F9" s="21">
        <f>'6111_Fleet MGT'!M11</f>
        <v>506000</v>
      </c>
      <c r="G9" s="168">
        <f>'6111_Fleet MGT'!N11</f>
        <v>506000</v>
      </c>
      <c r="H9" s="168">
        <f>'6111_Fleet MGT'!O11</f>
        <v>7500</v>
      </c>
      <c r="I9" s="168">
        <f>'6111_Fleet MGT'!P11</f>
        <v>7600</v>
      </c>
      <c r="J9" s="168">
        <f>'6111_Fleet MGT'!Q11</f>
        <v>7700</v>
      </c>
    </row>
    <row r="10" spans="1:10" x14ac:dyDescent="0.25">
      <c r="B10" s="20" t="s">
        <v>2114</v>
      </c>
      <c r="E10" s="21">
        <f>'6113_SCM'!L8</f>
        <v>1561500</v>
      </c>
      <c r="F10" s="21">
        <f>'6113_SCM'!M8</f>
        <v>350000</v>
      </c>
      <c r="G10" s="168">
        <f>'6113_SCM'!N8</f>
        <v>350000</v>
      </c>
      <c r="H10" s="168">
        <f>'6113_SCM'!O8</f>
        <v>1500000</v>
      </c>
      <c r="I10" s="168">
        <f>'6113_SCM'!P8</f>
        <v>1600000</v>
      </c>
      <c r="J10" s="168">
        <f>'6113_SCM'!Q8</f>
        <v>1700000</v>
      </c>
    </row>
    <row r="11" spans="1:10" x14ac:dyDescent="0.25">
      <c r="B11" s="20" t="s">
        <v>559</v>
      </c>
      <c r="E11" s="21">
        <f>'6115_Revenue'!L54</f>
        <v>534140036</v>
      </c>
      <c r="F11" s="21">
        <f>'6115_Revenue'!M54</f>
        <v>542782421.24000001</v>
      </c>
      <c r="G11" s="168">
        <f>'6115_Revenue'!N54</f>
        <v>551982421.24000001</v>
      </c>
      <c r="H11" s="168">
        <f>'6115_Revenue'!O54</f>
        <v>567979301.37551987</v>
      </c>
      <c r="I11" s="168">
        <f>'6115_Revenue'!P54</f>
        <v>594318138.4720428</v>
      </c>
      <c r="J11" s="168">
        <f>'6115_Revenue'!Q54</f>
        <v>626398684.72328484</v>
      </c>
    </row>
    <row r="12" spans="1:10" s="167" customFormat="1" x14ac:dyDescent="0.25">
      <c r="B12" s="167" t="s">
        <v>560</v>
      </c>
      <c r="E12" s="168">
        <f>'6119_BTO'!L8</f>
        <v>0</v>
      </c>
      <c r="F12" s="168">
        <f>'6119_BTO'!M8</f>
        <v>10727810.48</v>
      </c>
      <c r="G12" s="168">
        <f>'6119_BTO'!N8</f>
        <v>10727810.48</v>
      </c>
      <c r="H12" s="168">
        <f>'6119_BTO'!O8</f>
        <v>0</v>
      </c>
      <c r="I12" s="168">
        <f>'6119_BTO'!P8</f>
        <v>0</v>
      </c>
      <c r="J12" s="168">
        <f>'6119_BTO'!Q8</f>
        <v>0</v>
      </c>
    </row>
    <row r="13" spans="1:10" x14ac:dyDescent="0.25">
      <c r="B13" s="20" t="s">
        <v>1742</v>
      </c>
      <c r="E13" s="21">
        <f>'6153_LED'!L10</f>
        <v>605000</v>
      </c>
      <c r="F13" s="21">
        <f>'6153_LED'!M10</f>
        <v>204000</v>
      </c>
      <c r="G13" s="168">
        <f>'6153_LED'!N10</f>
        <v>204000</v>
      </c>
      <c r="H13" s="168">
        <f>'6153_LED'!O10</f>
        <v>605000</v>
      </c>
      <c r="I13" s="168">
        <f>'6153_LED'!P10</f>
        <v>615000</v>
      </c>
      <c r="J13" s="168">
        <f>'6153_LED'!Q10</f>
        <v>635000</v>
      </c>
    </row>
    <row r="14" spans="1:10" x14ac:dyDescent="0.25">
      <c r="B14" s="20" t="s">
        <v>2107</v>
      </c>
      <c r="E14" s="21">
        <f>'6155_Town Planning Adm'!L11</f>
        <v>501849</v>
      </c>
      <c r="F14" s="21">
        <f>'6155_Town Planning Adm'!M11</f>
        <v>385201</v>
      </c>
      <c r="G14" s="168">
        <f>'6155_Town Planning Adm'!N11</f>
        <v>385201</v>
      </c>
      <c r="H14" s="168">
        <f>'6155_Town Planning Adm'!O11</f>
        <v>420000</v>
      </c>
      <c r="I14" s="168">
        <f>'6155_Town Planning Adm'!P11</f>
        <v>445000</v>
      </c>
      <c r="J14" s="168">
        <f>'6155_Town Planning Adm'!Q11</f>
        <v>470000</v>
      </c>
    </row>
    <row r="15" spans="1:10" x14ac:dyDescent="0.25">
      <c r="B15" s="20" t="s">
        <v>2108</v>
      </c>
      <c r="E15" s="21">
        <f>'6251_Library Services'!L8</f>
        <v>3376</v>
      </c>
      <c r="F15" s="21">
        <f>'6251_Library Services'!M8</f>
        <v>800</v>
      </c>
      <c r="G15" s="168">
        <f>'6251_Library Services'!N8</f>
        <v>800</v>
      </c>
      <c r="H15" s="168">
        <f>'6251_Library Services'!O8</f>
        <v>1600</v>
      </c>
      <c r="I15" s="168">
        <f>'6251_Library Services'!P8</f>
        <v>2000</v>
      </c>
      <c r="J15" s="168">
        <f>'6251_Library Services'!Q8</f>
        <v>2500</v>
      </c>
    </row>
    <row r="16" spans="1:10" x14ac:dyDescent="0.25">
      <c r="B16" s="20" t="s">
        <v>1743</v>
      </c>
      <c r="E16" s="21">
        <f>'6255_Community Facilities'!L8</f>
        <v>50000</v>
      </c>
      <c r="F16" s="21">
        <f>'6255_Community Facilities'!M8</f>
        <v>6800</v>
      </c>
      <c r="G16" s="168">
        <f>'6255_Community Facilities'!N8</f>
        <v>6800</v>
      </c>
      <c r="H16" s="168">
        <f>'6255_Community Facilities'!O8</f>
        <v>50000</v>
      </c>
      <c r="I16" s="168">
        <f>'6255_Community Facilities'!P8</f>
        <v>55000</v>
      </c>
      <c r="J16" s="168">
        <f>'6255_Community Facilities'!Q8</f>
        <v>60000</v>
      </c>
    </row>
    <row r="17" spans="2:10" x14ac:dyDescent="0.25">
      <c r="B17" s="20" t="s">
        <v>2113</v>
      </c>
      <c r="E17" s="21">
        <f>'6267_Cemetery'!L13</f>
        <v>690550</v>
      </c>
      <c r="F17" s="21">
        <f>'6267_Cemetery'!M13</f>
        <v>548090</v>
      </c>
      <c r="G17" s="168">
        <f>'6267_Cemetery'!N13</f>
        <v>548090</v>
      </c>
      <c r="H17" s="168">
        <f>'6267_Cemetery'!O13</f>
        <v>690000</v>
      </c>
      <c r="I17" s="168">
        <f>'6267_Cemetery'!P13</f>
        <v>710000</v>
      </c>
      <c r="J17" s="168">
        <f>'6267_Cemetery'!Q13</f>
        <v>718000</v>
      </c>
    </row>
    <row r="18" spans="2:10" x14ac:dyDescent="0.25">
      <c r="B18" s="20" t="s">
        <v>898</v>
      </c>
      <c r="E18" s="21">
        <f>'6301_Housing'!L8</f>
        <v>684836</v>
      </c>
      <c r="F18" s="21">
        <f>'6301_Housing'!M8</f>
        <v>703092</v>
      </c>
      <c r="G18" s="168">
        <f>'6301_Housing'!N8</f>
        <v>703092</v>
      </c>
      <c r="H18" s="168">
        <f>'6301_Housing'!O8</f>
        <v>750000</v>
      </c>
      <c r="I18" s="168">
        <f>'6301_Housing'!P8</f>
        <v>760000</v>
      </c>
      <c r="J18" s="168">
        <f>'6301_Housing'!Q8</f>
        <v>770000</v>
      </c>
    </row>
    <row r="19" spans="2:10" x14ac:dyDescent="0.25">
      <c r="B19" s="20" t="s">
        <v>2110</v>
      </c>
      <c r="E19" s="21">
        <f>'6401Roads Operations(Sports)'!L8</f>
        <v>50000</v>
      </c>
      <c r="F19" s="21">
        <f>'6401Roads Operations(Sports)'!M8</f>
        <v>20366</v>
      </c>
      <c r="G19" s="168">
        <f>'6401Roads Operations(Sports)'!N8</f>
        <v>20366</v>
      </c>
      <c r="H19" s="168">
        <f>'6401Roads Operations(Sports)'!O8</f>
        <v>50000</v>
      </c>
      <c r="I19" s="168">
        <f>'6401Roads Operations(Sports)'!P8</f>
        <v>52000</v>
      </c>
      <c r="J19" s="168">
        <f>'6401Roads Operations(Sports)'!Q8</f>
        <v>54000</v>
      </c>
    </row>
    <row r="20" spans="2:10" x14ac:dyDescent="0.25">
      <c r="B20" s="20" t="s">
        <v>302</v>
      </c>
      <c r="E20" s="21">
        <f>'6501_Solid Waste'!L13</f>
        <v>10221001.003205139</v>
      </c>
      <c r="F20" s="21">
        <f>'6501_Solid Waste'!M13</f>
        <v>8142877.8600000003</v>
      </c>
      <c r="G20" s="168">
        <f>'6501_Solid Waste'!N13</f>
        <v>8142877.8600000003</v>
      </c>
      <c r="H20" s="168">
        <f>'6501_Solid Waste'!O13</f>
        <v>11200000</v>
      </c>
      <c r="I20" s="168">
        <f>'6501_Solid Waste'!P13</f>
        <v>11200000</v>
      </c>
      <c r="J20" s="168">
        <f>'6501_Solid Waste'!Q13</f>
        <v>11630000</v>
      </c>
    </row>
    <row r="21" spans="2:10" x14ac:dyDescent="0.25">
      <c r="B21" s="20" t="s">
        <v>2132</v>
      </c>
      <c r="E21" s="121">
        <f>'6601_Roads'!L8</f>
        <v>396000</v>
      </c>
      <c r="F21" s="121">
        <f>'6601_Roads'!M8</f>
        <v>150000</v>
      </c>
      <c r="G21" s="121">
        <f>'6601_Roads'!N8</f>
        <v>150000</v>
      </c>
      <c r="H21" s="121">
        <f>'6601_Roads'!O8</f>
        <v>150000</v>
      </c>
      <c r="I21" s="121">
        <f>'6601_Roads'!P8</f>
        <v>160000</v>
      </c>
      <c r="J21" s="121">
        <f>'6601_Roads'!Q8</f>
        <v>170000</v>
      </c>
    </row>
    <row r="22" spans="2:10" x14ac:dyDescent="0.25">
      <c r="B22" s="20" t="s">
        <v>2109</v>
      </c>
      <c r="E22" s="21">
        <f>'6607_Vehicle &amp; Licensing'!L13</f>
        <v>18230000</v>
      </c>
      <c r="F22" s="21">
        <f>'6607_Vehicle &amp; Licensing'!M13</f>
        <v>8740000</v>
      </c>
      <c r="G22" s="168">
        <f>'6607_Vehicle &amp; Licensing'!N13</f>
        <v>8740000</v>
      </c>
      <c r="H22" s="168">
        <f>'6607_Vehicle &amp; Licensing'!O13</f>
        <v>8300000</v>
      </c>
      <c r="I22" s="168">
        <f>'6607_Vehicle &amp; Licensing'!P13</f>
        <v>8654000</v>
      </c>
      <c r="J22" s="168">
        <f>'6607_Vehicle &amp; Licensing'!Q13</f>
        <v>9011000</v>
      </c>
    </row>
    <row r="23" spans="2:10" hidden="1" x14ac:dyDescent="0.25">
      <c r="B23" s="20" t="e">
        <f>+#REF!</f>
        <v>#REF!</v>
      </c>
    </row>
    <row r="24" spans="2:10" s="19" customFormat="1" x14ac:dyDescent="0.25">
      <c r="E24" s="24">
        <f>+SUM(E6:E23)</f>
        <v>615679148.00320518</v>
      </c>
      <c r="F24" s="24">
        <f t="shared" ref="F24:J24" si="0">+SUM(F6:F23)</f>
        <v>581607458.58000004</v>
      </c>
      <c r="G24" s="24">
        <f t="shared" si="0"/>
        <v>590807458.58000004</v>
      </c>
      <c r="H24" s="24">
        <f t="shared" si="0"/>
        <v>600163401.37551987</v>
      </c>
      <c r="I24" s="24">
        <f t="shared" si="0"/>
        <v>628053738.4720428</v>
      </c>
      <c r="J24" s="24">
        <f t="shared" si="0"/>
        <v>661116884.72328484</v>
      </c>
    </row>
    <row r="25" spans="2:10" s="23" customFormat="1" x14ac:dyDescent="0.25"/>
    <row r="26" spans="2:10" s="23" customFormat="1" x14ac:dyDescent="0.25">
      <c r="G26" s="22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T98"/>
  <sheetViews>
    <sheetView zoomScale="115" zoomScaleNormal="115" workbookViewId="0">
      <pane ySplit="4" topLeftCell="A44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4.625" style="78" customWidth="1"/>
    <col min="2" max="2" width="19.875" style="78" hidden="1" customWidth="1"/>
    <col min="3" max="3" width="41.875" style="78" hidden="1" customWidth="1"/>
    <col min="4" max="4" width="45.625" style="78" customWidth="1"/>
    <col min="5" max="5" width="13" style="78" hidden="1" customWidth="1"/>
    <col min="6" max="6" width="11.875" style="78" hidden="1" customWidth="1"/>
    <col min="7" max="11" width="9.125" style="78" hidden="1" customWidth="1"/>
    <col min="12" max="12" width="16.375" style="79" bestFit="1" customWidth="1"/>
    <col min="13" max="13" width="16.375" style="78" bestFit="1" customWidth="1"/>
    <col min="14" max="17" width="16.375" style="134" customWidth="1"/>
    <col min="18" max="18" width="15.25" style="78" bestFit="1" customWidth="1"/>
    <col min="19" max="19" width="15.25" style="79" bestFit="1" customWidth="1"/>
    <col min="20" max="20" width="15.25" style="78" bestFit="1" customWidth="1"/>
    <col min="21" max="16384" width="9.125" style="78"/>
  </cols>
  <sheetData>
    <row r="1" spans="1:19" ht="15.75" x14ac:dyDescent="0.25">
      <c r="A1" s="72" t="s">
        <v>1597</v>
      </c>
      <c r="B1" s="72"/>
      <c r="C1" s="72"/>
      <c r="D1" s="72"/>
      <c r="E1" s="77" t="s">
        <v>13</v>
      </c>
    </row>
    <row r="2" spans="1:19" ht="15.75" x14ac:dyDescent="0.25">
      <c r="A2" s="19" t="s">
        <v>2342</v>
      </c>
      <c r="B2" s="72"/>
      <c r="C2" s="72"/>
      <c r="D2" s="72"/>
    </row>
    <row r="3" spans="1:19" ht="15.75" x14ac:dyDescent="0.25">
      <c r="A3" s="72" t="s">
        <v>559</v>
      </c>
      <c r="B3" s="72"/>
      <c r="C3" s="72"/>
      <c r="D3" s="72"/>
    </row>
    <row r="4" spans="1:19" s="99" customFormat="1" ht="60.75" customHeight="1" x14ac:dyDescent="0.25">
      <c r="A4" s="78" t="s">
        <v>1202</v>
      </c>
      <c r="B4" s="99" t="s">
        <v>0</v>
      </c>
      <c r="C4" s="99" t="s">
        <v>1</v>
      </c>
      <c r="D4" s="99" t="s">
        <v>2</v>
      </c>
      <c r="E4" s="99" t="s">
        <v>3</v>
      </c>
      <c r="F4" s="99" t="s">
        <v>4</v>
      </c>
      <c r="G4" s="99" t="s">
        <v>5</v>
      </c>
      <c r="H4" s="99" t="s">
        <v>6</v>
      </c>
      <c r="I4" s="99" t="s">
        <v>7</v>
      </c>
      <c r="J4" s="99" t="s">
        <v>8</v>
      </c>
      <c r="K4" s="99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  <c r="S4" s="127"/>
    </row>
    <row r="5" spans="1:19" x14ac:dyDescent="0.25">
      <c r="A5" s="89"/>
      <c r="B5" s="89"/>
      <c r="C5" s="89"/>
      <c r="D5" s="89"/>
      <c r="E5" s="89"/>
      <c r="F5" s="89"/>
      <c r="G5" s="89"/>
      <c r="H5" s="89"/>
    </row>
    <row r="6" spans="1:19" x14ac:dyDescent="0.25">
      <c r="A6" s="77" t="s">
        <v>571</v>
      </c>
      <c r="B6" s="77" t="s">
        <v>290</v>
      </c>
      <c r="C6" s="77" t="s">
        <v>347</v>
      </c>
      <c r="D6" s="77" t="s">
        <v>1718</v>
      </c>
      <c r="E6" s="77" t="s">
        <v>90</v>
      </c>
      <c r="F6" s="77" t="s">
        <v>572</v>
      </c>
      <c r="G6" s="77" t="s">
        <v>16</v>
      </c>
      <c r="H6" s="77" t="s">
        <v>559</v>
      </c>
      <c r="I6" s="82" t="s">
        <v>18</v>
      </c>
      <c r="J6" s="82">
        <v>3</v>
      </c>
      <c r="K6" s="82"/>
      <c r="L6" s="74">
        <v>7772543</v>
      </c>
      <c r="M6" s="105">
        <v>7772543</v>
      </c>
      <c r="N6" s="105">
        <v>7772543</v>
      </c>
      <c r="O6" s="105">
        <v>8083444.7199999997</v>
      </c>
      <c r="P6" s="105">
        <v>8439116.2876800001</v>
      </c>
      <c r="Q6" s="105">
        <v>8818876.5206255987</v>
      </c>
    </row>
    <row r="7" spans="1:19" x14ac:dyDescent="0.25">
      <c r="A7" s="77" t="s">
        <v>573</v>
      </c>
      <c r="B7" s="77" t="s">
        <v>290</v>
      </c>
      <c r="C7" s="77" t="s">
        <v>347</v>
      </c>
      <c r="D7" s="77" t="s">
        <v>1718</v>
      </c>
      <c r="E7" s="77" t="s">
        <v>90</v>
      </c>
      <c r="F7" s="77" t="s">
        <v>574</v>
      </c>
      <c r="G7" s="77" t="s">
        <v>16</v>
      </c>
      <c r="H7" s="77" t="s">
        <v>559</v>
      </c>
      <c r="I7" s="82" t="s">
        <v>38</v>
      </c>
      <c r="J7" s="82">
        <v>1</v>
      </c>
      <c r="K7" s="82"/>
      <c r="L7" s="74">
        <v>4472146</v>
      </c>
      <c r="M7" s="105">
        <v>4472146</v>
      </c>
      <c r="N7" s="105">
        <v>4472146</v>
      </c>
      <c r="O7" s="105">
        <v>4651031.84</v>
      </c>
      <c r="P7" s="105">
        <v>4855677.2409600001</v>
      </c>
      <c r="Q7" s="105">
        <v>5074182.7168032005</v>
      </c>
    </row>
    <row r="8" spans="1:19" x14ac:dyDescent="0.25">
      <c r="A8" s="77" t="s">
        <v>575</v>
      </c>
      <c r="B8" s="77" t="s">
        <v>290</v>
      </c>
      <c r="C8" s="77" t="s">
        <v>347</v>
      </c>
      <c r="D8" s="77" t="s">
        <v>1718</v>
      </c>
      <c r="E8" s="77" t="s">
        <v>90</v>
      </c>
      <c r="F8" s="77" t="s">
        <v>576</v>
      </c>
      <c r="G8" s="77" t="s">
        <v>16</v>
      </c>
      <c r="H8" s="77" t="s">
        <v>559</v>
      </c>
      <c r="I8" s="82" t="s">
        <v>38</v>
      </c>
      <c r="J8" s="82">
        <v>1</v>
      </c>
      <c r="K8" s="82"/>
      <c r="L8" s="74">
        <f>2149096+800000</f>
        <v>2949096</v>
      </c>
      <c r="M8" s="105">
        <v>4015768</v>
      </c>
      <c r="N8" s="105">
        <v>4015768</v>
      </c>
      <c r="O8" s="105">
        <v>4176398.72</v>
      </c>
      <c r="P8" s="105">
        <v>4360160.2636799999</v>
      </c>
      <c r="Q8" s="105">
        <v>4556367.4755456001</v>
      </c>
    </row>
    <row r="9" spans="1:19" x14ac:dyDescent="0.25">
      <c r="A9" s="77" t="s">
        <v>568</v>
      </c>
      <c r="B9" s="77" t="s">
        <v>290</v>
      </c>
      <c r="C9" s="77" t="s">
        <v>347</v>
      </c>
      <c r="D9" s="77" t="s">
        <v>1718</v>
      </c>
      <c r="E9" s="77" t="s">
        <v>90</v>
      </c>
      <c r="F9" s="77" t="s">
        <v>570</v>
      </c>
      <c r="G9" s="77" t="s">
        <v>16</v>
      </c>
      <c r="H9" s="77" t="s">
        <v>559</v>
      </c>
      <c r="I9" s="82" t="s">
        <v>38</v>
      </c>
      <c r="J9" s="82">
        <v>1</v>
      </c>
      <c r="K9" s="82"/>
      <c r="L9" s="74">
        <v>3871157</v>
      </c>
      <c r="M9" s="105">
        <v>3871157</v>
      </c>
      <c r="N9" s="105">
        <v>3871157</v>
      </c>
      <c r="O9" s="105">
        <v>4026003.28</v>
      </c>
      <c r="P9" s="105">
        <v>4203147.4243200002</v>
      </c>
      <c r="Q9" s="105">
        <v>4392289.0584144006</v>
      </c>
    </row>
    <row r="10" spans="1:19" x14ac:dyDescent="0.25">
      <c r="A10" s="77" t="s">
        <v>578</v>
      </c>
      <c r="B10" s="77" t="s">
        <v>290</v>
      </c>
      <c r="C10" s="77" t="s">
        <v>347</v>
      </c>
      <c r="D10" s="77" t="s">
        <v>1712</v>
      </c>
      <c r="E10" s="77" t="s">
        <v>90</v>
      </c>
      <c r="F10" s="77" t="s">
        <v>572</v>
      </c>
      <c r="G10" s="77" t="s">
        <v>16</v>
      </c>
      <c r="H10" s="77" t="s">
        <v>559</v>
      </c>
      <c r="I10" s="82" t="s">
        <v>38</v>
      </c>
      <c r="J10" s="82">
        <v>1</v>
      </c>
      <c r="K10" s="82"/>
      <c r="L10" s="74">
        <f>3088584+1600000</f>
        <v>4688584</v>
      </c>
      <c r="M10" s="105">
        <v>5668879</v>
      </c>
      <c r="N10" s="105">
        <v>5668879</v>
      </c>
      <c r="O10" s="105">
        <v>5895634.1600000001</v>
      </c>
      <c r="P10" s="105">
        <v>6155042.0630400004</v>
      </c>
      <c r="Q10" s="105">
        <v>6432018.9558768002</v>
      </c>
    </row>
    <row r="11" spans="1:19" x14ac:dyDescent="0.25">
      <c r="A11" s="77" t="s">
        <v>579</v>
      </c>
      <c r="B11" s="77" t="s">
        <v>290</v>
      </c>
      <c r="C11" s="77" t="s">
        <v>347</v>
      </c>
      <c r="D11" s="77" t="s">
        <v>1712</v>
      </c>
      <c r="E11" s="77" t="s">
        <v>90</v>
      </c>
      <c r="F11" s="77" t="s">
        <v>574</v>
      </c>
      <c r="G11" s="77" t="s">
        <v>16</v>
      </c>
      <c r="H11" s="77" t="s">
        <v>559</v>
      </c>
      <c r="I11" s="82" t="s">
        <v>38</v>
      </c>
      <c r="J11" s="82">
        <v>1</v>
      </c>
      <c r="K11" s="82"/>
      <c r="L11" s="74">
        <v>7024165</v>
      </c>
      <c r="M11" s="105">
        <v>4500000</v>
      </c>
      <c r="N11" s="105">
        <v>4500000</v>
      </c>
      <c r="O11" s="105">
        <v>4680000</v>
      </c>
      <c r="P11" s="105">
        <v>4885920</v>
      </c>
      <c r="Q11" s="105">
        <v>5105786.4000000004</v>
      </c>
    </row>
    <row r="12" spans="1:19" x14ac:dyDescent="0.25">
      <c r="A12" s="77" t="s">
        <v>580</v>
      </c>
      <c r="B12" s="77" t="s">
        <v>290</v>
      </c>
      <c r="C12" s="77" t="s">
        <v>347</v>
      </c>
      <c r="D12" s="77" t="s">
        <v>1712</v>
      </c>
      <c r="E12" s="77" t="s">
        <v>90</v>
      </c>
      <c r="F12" s="77" t="s">
        <v>576</v>
      </c>
      <c r="G12" s="77" t="s">
        <v>16</v>
      </c>
      <c r="H12" s="77" t="s">
        <v>559</v>
      </c>
      <c r="I12" s="82" t="s">
        <v>38</v>
      </c>
      <c r="J12" s="82">
        <v>1</v>
      </c>
      <c r="K12" s="82"/>
      <c r="L12" s="74">
        <v>1218647</v>
      </c>
      <c r="M12" s="105">
        <v>1218647</v>
      </c>
      <c r="N12" s="105">
        <v>1218647</v>
      </c>
      <c r="O12" s="105">
        <v>1267392.8799999999</v>
      </c>
      <c r="P12" s="105">
        <v>1323158.1667199999</v>
      </c>
      <c r="Q12" s="105">
        <v>1382700.2842223998</v>
      </c>
    </row>
    <row r="13" spans="1:19" x14ac:dyDescent="0.25">
      <c r="A13" s="77" t="s">
        <v>577</v>
      </c>
      <c r="B13" s="77" t="s">
        <v>290</v>
      </c>
      <c r="C13" s="77" t="s">
        <v>347</v>
      </c>
      <c r="D13" s="77" t="s">
        <v>1712</v>
      </c>
      <c r="E13" s="77" t="s">
        <v>90</v>
      </c>
      <c r="F13" s="77" t="s">
        <v>570</v>
      </c>
      <c r="G13" s="77" t="s">
        <v>16</v>
      </c>
      <c r="H13" s="77" t="s">
        <v>559</v>
      </c>
      <c r="I13" s="82" t="s">
        <v>38</v>
      </c>
      <c r="J13" s="82">
        <v>1</v>
      </c>
      <c r="K13" s="82"/>
      <c r="L13" s="74">
        <v>481969</v>
      </c>
      <c r="M13" s="105">
        <v>531940</v>
      </c>
      <c r="N13" s="105">
        <v>531940</v>
      </c>
      <c r="O13" s="105">
        <v>553217.6</v>
      </c>
      <c r="P13" s="105">
        <v>577559.17440000002</v>
      </c>
      <c r="Q13" s="105">
        <v>603549.33724800008</v>
      </c>
    </row>
    <row r="14" spans="1:19" x14ac:dyDescent="0.25">
      <c r="A14" s="77" t="s">
        <v>632</v>
      </c>
      <c r="B14" s="77" t="s">
        <v>290</v>
      </c>
      <c r="C14" s="77" t="s">
        <v>347</v>
      </c>
      <c r="D14" s="77" t="s">
        <v>1713</v>
      </c>
      <c r="E14" s="77" t="s">
        <v>90</v>
      </c>
      <c r="F14" s="77" t="s">
        <v>292</v>
      </c>
      <c r="G14" s="77" t="s">
        <v>16</v>
      </c>
      <c r="H14" s="77" t="s">
        <v>559</v>
      </c>
      <c r="I14" s="82" t="s">
        <v>18</v>
      </c>
      <c r="J14" s="82">
        <v>3</v>
      </c>
      <c r="K14" s="82"/>
      <c r="L14" s="74">
        <v>15088030</v>
      </c>
      <c r="M14" s="105">
        <v>13739083</v>
      </c>
      <c r="N14" s="105">
        <v>13739083</v>
      </c>
      <c r="O14" s="105">
        <v>14288646.32</v>
      </c>
      <c r="P14" s="105">
        <v>14917346.75808</v>
      </c>
      <c r="Q14" s="105">
        <v>15588627.362193601</v>
      </c>
    </row>
    <row r="15" spans="1:19" hidden="1" x14ac:dyDescent="0.25">
      <c r="A15" s="77" t="s">
        <v>581</v>
      </c>
      <c r="B15" s="77" t="s">
        <v>290</v>
      </c>
      <c r="C15" s="77" t="s">
        <v>347</v>
      </c>
      <c r="D15" s="77" t="s">
        <v>1714</v>
      </c>
      <c r="E15" s="77" t="s">
        <v>90</v>
      </c>
      <c r="F15" s="77" t="s">
        <v>572</v>
      </c>
      <c r="G15" s="77" t="s">
        <v>16</v>
      </c>
      <c r="H15" s="77" t="s">
        <v>559</v>
      </c>
      <c r="I15" s="82" t="s">
        <v>38</v>
      </c>
      <c r="J15" s="82">
        <v>1</v>
      </c>
      <c r="K15" s="82"/>
      <c r="L15" s="74"/>
      <c r="M15" s="105"/>
      <c r="N15" s="105"/>
      <c r="O15" s="105">
        <v>0</v>
      </c>
      <c r="P15" s="105">
        <v>0</v>
      </c>
      <c r="Q15" s="105">
        <v>0</v>
      </c>
    </row>
    <row r="16" spans="1:19" x14ac:dyDescent="0.25">
      <c r="A16" s="77" t="s">
        <v>582</v>
      </c>
      <c r="B16" s="77" t="s">
        <v>290</v>
      </c>
      <c r="C16" s="77" t="s">
        <v>347</v>
      </c>
      <c r="D16" s="77" t="s">
        <v>1714</v>
      </c>
      <c r="E16" s="77" t="s">
        <v>90</v>
      </c>
      <c r="F16" s="77" t="s">
        <v>574</v>
      </c>
      <c r="G16" s="77" t="s">
        <v>16</v>
      </c>
      <c r="H16" s="77" t="s">
        <v>559</v>
      </c>
      <c r="I16" s="82" t="s">
        <v>18</v>
      </c>
      <c r="J16" s="82">
        <v>3</v>
      </c>
      <c r="K16" s="82"/>
      <c r="L16" s="74">
        <v>1096332</v>
      </c>
      <c r="M16" s="105">
        <v>1160546</v>
      </c>
      <c r="N16" s="105">
        <v>1160546</v>
      </c>
      <c r="O16" s="105">
        <v>1206967.8400000001</v>
      </c>
      <c r="P16" s="105">
        <v>1260074.4249600002</v>
      </c>
      <c r="Q16" s="105">
        <v>1316777.7740832001</v>
      </c>
    </row>
    <row r="17" spans="1:19" hidden="1" x14ac:dyDescent="0.25">
      <c r="A17" s="77" t="s">
        <v>588</v>
      </c>
      <c r="B17" s="77" t="s">
        <v>290</v>
      </c>
      <c r="C17" s="77" t="s">
        <v>347</v>
      </c>
      <c r="D17" s="77" t="s">
        <v>1715</v>
      </c>
      <c r="E17" s="77" t="s">
        <v>90</v>
      </c>
      <c r="F17" s="77" t="s">
        <v>572</v>
      </c>
      <c r="G17" s="77" t="s">
        <v>16</v>
      </c>
      <c r="H17" s="77" t="s">
        <v>559</v>
      </c>
      <c r="I17" s="82" t="s">
        <v>38</v>
      </c>
      <c r="J17" s="82">
        <v>1</v>
      </c>
      <c r="K17" s="82"/>
      <c r="L17" s="74">
        <v>0</v>
      </c>
      <c r="M17" s="105">
        <v>0</v>
      </c>
      <c r="N17" s="105">
        <v>0</v>
      </c>
      <c r="O17" s="105"/>
      <c r="P17" s="105"/>
      <c r="Q17" s="105"/>
    </row>
    <row r="18" spans="1:19" hidden="1" x14ac:dyDescent="0.25">
      <c r="A18" s="77" t="s">
        <v>589</v>
      </c>
      <c r="B18" s="77" t="s">
        <v>290</v>
      </c>
      <c r="C18" s="77" t="s">
        <v>347</v>
      </c>
      <c r="D18" s="77" t="s">
        <v>1716</v>
      </c>
      <c r="E18" s="77" t="s">
        <v>90</v>
      </c>
      <c r="F18" s="77" t="s">
        <v>574</v>
      </c>
      <c r="G18" s="77" t="s">
        <v>16</v>
      </c>
      <c r="H18" s="77" t="s">
        <v>559</v>
      </c>
      <c r="I18" s="82" t="s">
        <v>18</v>
      </c>
      <c r="J18" s="82">
        <v>3</v>
      </c>
      <c r="K18" s="82"/>
      <c r="L18" s="74">
        <v>0</v>
      </c>
      <c r="M18" s="105">
        <v>0</v>
      </c>
      <c r="N18" s="105">
        <v>0</v>
      </c>
      <c r="O18" s="105"/>
      <c r="P18" s="105"/>
      <c r="Q18" s="105"/>
    </row>
    <row r="19" spans="1:19" hidden="1" x14ac:dyDescent="0.25">
      <c r="A19" s="77" t="s">
        <v>590</v>
      </c>
      <c r="B19" s="77" t="s">
        <v>290</v>
      </c>
      <c r="C19" s="77" t="s">
        <v>347</v>
      </c>
      <c r="D19" s="77" t="s">
        <v>1715</v>
      </c>
      <c r="E19" s="77" t="s">
        <v>90</v>
      </c>
      <c r="F19" s="77" t="s">
        <v>576</v>
      </c>
      <c r="G19" s="77" t="s">
        <v>16</v>
      </c>
      <c r="H19" s="77" t="s">
        <v>559</v>
      </c>
      <c r="I19" s="82" t="s">
        <v>38</v>
      </c>
      <c r="J19" s="82">
        <v>1</v>
      </c>
      <c r="K19" s="82"/>
      <c r="L19" s="74">
        <v>0</v>
      </c>
      <c r="M19" s="105">
        <v>0</v>
      </c>
      <c r="N19" s="105">
        <v>0</v>
      </c>
      <c r="O19" s="105"/>
      <c r="P19" s="105"/>
      <c r="Q19" s="105"/>
    </row>
    <row r="20" spans="1:19" x14ac:dyDescent="0.25">
      <c r="A20" s="77" t="s">
        <v>587</v>
      </c>
      <c r="B20" s="77" t="s">
        <v>290</v>
      </c>
      <c r="C20" s="77" t="s">
        <v>347</v>
      </c>
      <c r="D20" s="77" t="s">
        <v>1715</v>
      </c>
      <c r="E20" s="77" t="s">
        <v>90</v>
      </c>
      <c r="F20" s="77" t="s">
        <v>570</v>
      </c>
      <c r="G20" s="77" t="s">
        <v>16</v>
      </c>
      <c r="H20" s="77" t="s">
        <v>559</v>
      </c>
      <c r="I20" s="82" t="s">
        <v>38</v>
      </c>
      <c r="J20" s="82">
        <v>1</v>
      </c>
      <c r="K20" s="82"/>
      <c r="L20" s="74">
        <v>24391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</row>
    <row r="21" spans="1:19" x14ac:dyDescent="0.25">
      <c r="A21" s="77" t="s">
        <v>584</v>
      </c>
      <c r="B21" s="77" t="s">
        <v>290</v>
      </c>
      <c r="C21" s="77" t="s">
        <v>347</v>
      </c>
      <c r="D21" s="77" t="s">
        <v>1717</v>
      </c>
      <c r="E21" s="77" t="s">
        <v>90</v>
      </c>
      <c r="F21" s="77" t="s">
        <v>572</v>
      </c>
      <c r="G21" s="77" t="s">
        <v>16</v>
      </c>
      <c r="H21" s="77" t="s">
        <v>559</v>
      </c>
      <c r="I21" s="82" t="s">
        <v>38</v>
      </c>
      <c r="J21" s="82">
        <v>1</v>
      </c>
      <c r="K21" s="82"/>
      <c r="L21" s="74">
        <v>17987562</v>
      </c>
      <c r="M21" s="105">
        <v>16987562</v>
      </c>
      <c r="N21" s="105">
        <v>16987562</v>
      </c>
      <c r="O21" s="105">
        <v>17667064.48</v>
      </c>
      <c r="P21" s="105">
        <v>18444415.317120001</v>
      </c>
      <c r="Q21" s="105">
        <v>19274414.0063904</v>
      </c>
    </row>
    <row r="22" spans="1:19" x14ac:dyDescent="0.25">
      <c r="A22" s="77" t="s">
        <v>585</v>
      </c>
      <c r="B22" s="77" t="s">
        <v>290</v>
      </c>
      <c r="C22" s="77" t="s">
        <v>347</v>
      </c>
      <c r="D22" s="77" t="s">
        <v>1717</v>
      </c>
      <c r="E22" s="77" t="s">
        <v>90</v>
      </c>
      <c r="F22" s="77" t="s">
        <v>574</v>
      </c>
      <c r="G22" s="77" t="s">
        <v>16</v>
      </c>
      <c r="H22" s="77" t="s">
        <v>559</v>
      </c>
      <c r="I22" s="82" t="s">
        <v>38</v>
      </c>
      <c r="J22" s="82">
        <v>1</v>
      </c>
      <c r="K22" s="82"/>
      <c r="L22" s="74">
        <f>915588+1600000</f>
        <v>2515588</v>
      </c>
      <c r="M22" s="105">
        <v>8117702</v>
      </c>
      <c r="N22" s="105">
        <v>8117702</v>
      </c>
      <c r="O22" s="105">
        <v>8442410.0800000001</v>
      </c>
      <c r="P22" s="105">
        <v>8813876.1235199999</v>
      </c>
      <c r="Q22" s="105">
        <v>9210500.5490783993</v>
      </c>
    </row>
    <row r="23" spans="1:19" x14ac:dyDescent="0.25">
      <c r="A23" s="77" t="s">
        <v>586</v>
      </c>
      <c r="B23" s="77" t="s">
        <v>290</v>
      </c>
      <c r="C23" s="77" t="s">
        <v>347</v>
      </c>
      <c r="D23" s="77" t="s">
        <v>1717</v>
      </c>
      <c r="E23" s="77" t="s">
        <v>90</v>
      </c>
      <c r="F23" s="77" t="s">
        <v>576</v>
      </c>
      <c r="G23" s="77" t="s">
        <v>16</v>
      </c>
      <c r="H23" s="77" t="s">
        <v>559</v>
      </c>
      <c r="I23" s="82" t="s">
        <v>38</v>
      </c>
      <c r="J23" s="82">
        <v>1</v>
      </c>
      <c r="K23" s="82"/>
      <c r="L23" s="74">
        <v>5675705</v>
      </c>
      <c r="M23" s="105">
        <v>837558.24</v>
      </c>
      <c r="N23" s="105">
        <v>837558.24</v>
      </c>
      <c r="O23" s="105">
        <v>871060.56959999993</v>
      </c>
      <c r="P23" s="105">
        <v>909387.23466240009</v>
      </c>
      <c r="Q23" s="105">
        <v>950309.66022220801</v>
      </c>
    </row>
    <row r="24" spans="1:19" x14ac:dyDescent="0.25">
      <c r="A24" s="77" t="s">
        <v>583</v>
      </c>
      <c r="B24" s="77" t="s">
        <v>290</v>
      </c>
      <c r="C24" s="77" t="s">
        <v>347</v>
      </c>
      <c r="D24" s="77" t="s">
        <v>1717</v>
      </c>
      <c r="E24" s="77" t="s">
        <v>90</v>
      </c>
      <c r="F24" s="77" t="s">
        <v>570</v>
      </c>
      <c r="G24" s="77" t="s">
        <v>16</v>
      </c>
      <c r="H24" s="77" t="s">
        <v>559</v>
      </c>
      <c r="I24" s="82" t="s">
        <v>38</v>
      </c>
      <c r="J24" s="82">
        <v>1</v>
      </c>
      <c r="K24" s="82"/>
      <c r="L24" s="74">
        <v>973007</v>
      </c>
      <c r="M24" s="105">
        <v>3371716</v>
      </c>
      <c r="N24" s="105">
        <v>3371716</v>
      </c>
      <c r="O24" s="105">
        <v>3506584.64</v>
      </c>
      <c r="P24" s="105">
        <v>3660874.3641599999</v>
      </c>
      <c r="Q24" s="105">
        <v>3825613.7105471999</v>
      </c>
    </row>
    <row r="25" spans="1:19" x14ac:dyDescent="0.25">
      <c r="A25" s="77" t="s">
        <v>633</v>
      </c>
      <c r="B25" s="77" t="s">
        <v>290</v>
      </c>
      <c r="C25" s="77" t="s">
        <v>347</v>
      </c>
      <c r="D25" s="77" t="s">
        <v>1717</v>
      </c>
      <c r="E25" s="77" t="s">
        <v>90</v>
      </c>
      <c r="F25" s="77" t="s">
        <v>292</v>
      </c>
      <c r="G25" s="77" t="s">
        <v>16</v>
      </c>
      <c r="H25" s="77" t="s">
        <v>559</v>
      </c>
      <c r="I25" s="82" t="s">
        <v>18</v>
      </c>
      <c r="J25" s="82">
        <v>3</v>
      </c>
      <c r="K25" s="82"/>
      <c r="L25" s="74">
        <v>534102</v>
      </c>
      <c r="M25" s="105">
        <v>534102</v>
      </c>
      <c r="N25" s="105">
        <v>534102</v>
      </c>
      <c r="O25" s="105">
        <v>555466.07999999996</v>
      </c>
      <c r="P25" s="105">
        <v>579906.58751999994</v>
      </c>
      <c r="Q25" s="105">
        <v>606002.38395839999</v>
      </c>
    </row>
    <row r="26" spans="1:19" x14ac:dyDescent="0.25">
      <c r="A26" s="71" t="s">
        <v>2054</v>
      </c>
      <c r="B26" s="77"/>
      <c r="C26" s="77"/>
      <c r="D26" s="71" t="s">
        <v>1711</v>
      </c>
      <c r="E26" s="77"/>
      <c r="F26" s="77"/>
      <c r="G26" s="77"/>
      <c r="H26" s="77"/>
      <c r="I26" s="82"/>
      <c r="J26" s="82"/>
      <c r="K26" s="82"/>
      <c r="L26" s="74">
        <v>10072</v>
      </c>
      <c r="M26" s="105">
        <v>10094</v>
      </c>
      <c r="N26" s="105">
        <v>10094</v>
      </c>
      <c r="O26" s="105">
        <v>10497.76</v>
      </c>
      <c r="P26" s="105">
        <v>10959.661440000002</v>
      </c>
      <c r="Q26" s="105">
        <v>11452.846204800002</v>
      </c>
    </row>
    <row r="27" spans="1:19" x14ac:dyDescent="0.25">
      <c r="A27" s="77" t="s">
        <v>613</v>
      </c>
      <c r="B27" s="77" t="s">
        <v>290</v>
      </c>
      <c r="C27" s="77" t="s">
        <v>12</v>
      </c>
      <c r="D27" s="77" t="s">
        <v>12</v>
      </c>
      <c r="E27" s="77" t="s">
        <v>90</v>
      </c>
      <c r="F27" s="77" t="s">
        <v>292</v>
      </c>
      <c r="G27" s="77" t="s">
        <v>16</v>
      </c>
      <c r="H27" s="77" t="s">
        <v>559</v>
      </c>
      <c r="I27" s="82" t="s">
        <v>18</v>
      </c>
      <c r="J27" s="82">
        <v>3</v>
      </c>
      <c r="K27" s="82"/>
      <c r="L27" s="74">
        <v>320318000</v>
      </c>
      <c r="M27" s="105">
        <v>320318000</v>
      </c>
      <c r="N27" s="105">
        <v>320318000</v>
      </c>
      <c r="O27" s="105">
        <v>352203000</v>
      </c>
      <c r="P27" s="105">
        <v>374568000</v>
      </c>
      <c r="Q27" s="105">
        <v>399166000</v>
      </c>
    </row>
    <row r="28" spans="1:19" x14ac:dyDescent="0.25">
      <c r="A28" s="77" t="s">
        <v>614</v>
      </c>
      <c r="B28" s="77" t="s">
        <v>290</v>
      </c>
      <c r="C28" s="77" t="s">
        <v>228</v>
      </c>
      <c r="D28" s="77" t="s">
        <v>228</v>
      </c>
      <c r="E28" s="77" t="s">
        <v>90</v>
      </c>
      <c r="F28" s="77" t="s">
        <v>292</v>
      </c>
      <c r="G28" s="77" t="s">
        <v>16</v>
      </c>
      <c r="H28" s="77" t="s">
        <v>559</v>
      </c>
      <c r="I28" s="82" t="s">
        <v>18</v>
      </c>
      <c r="J28" s="82">
        <v>3</v>
      </c>
      <c r="K28" s="82"/>
      <c r="L28" s="74">
        <v>2200000</v>
      </c>
      <c r="M28" s="105">
        <v>2200000</v>
      </c>
      <c r="N28" s="105">
        <v>2200000</v>
      </c>
      <c r="O28" s="105">
        <v>2400000</v>
      </c>
      <c r="P28" s="105">
        <v>2400000</v>
      </c>
      <c r="Q28" s="105">
        <v>2400000</v>
      </c>
    </row>
    <row r="29" spans="1:19" x14ac:dyDescent="0.25">
      <c r="A29" s="77" t="s">
        <v>615</v>
      </c>
      <c r="B29" s="77" t="s">
        <v>290</v>
      </c>
      <c r="C29" s="77" t="s">
        <v>142</v>
      </c>
      <c r="D29" s="77" t="s">
        <v>142</v>
      </c>
      <c r="E29" s="77" t="s">
        <v>90</v>
      </c>
      <c r="F29" s="77" t="s">
        <v>292</v>
      </c>
      <c r="G29" s="77" t="s">
        <v>16</v>
      </c>
      <c r="H29" s="77" t="s">
        <v>559</v>
      </c>
      <c r="I29" s="82" t="s">
        <v>18</v>
      </c>
      <c r="J29" s="82">
        <v>3</v>
      </c>
      <c r="K29" s="82"/>
      <c r="L29" s="74">
        <v>64105000</v>
      </c>
      <c r="M29" s="105">
        <v>64105000</v>
      </c>
      <c r="N29" s="105">
        <v>64105000</v>
      </c>
      <c r="O29" s="105">
        <v>69261000</v>
      </c>
      <c r="P29" s="105">
        <v>72338000</v>
      </c>
      <c r="Q29" s="105">
        <v>75612000</v>
      </c>
    </row>
    <row r="30" spans="1:19" s="107" customFormat="1" x14ac:dyDescent="0.25">
      <c r="A30" s="52" t="s">
        <v>2067</v>
      </c>
      <c r="B30" s="52" t="s">
        <v>290</v>
      </c>
      <c r="C30" s="52" t="s">
        <v>618</v>
      </c>
      <c r="D30" s="52" t="s">
        <v>618</v>
      </c>
      <c r="E30" s="52" t="s">
        <v>90</v>
      </c>
      <c r="F30" s="52" t="s">
        <v>292</v>
      </c>
      <c r="G30" s="52" t="s">
        <v>16</v>
      </c>
      <c r="H30" s="52" t="s">
        <v>559</v>
      </c>
      <c r="I30" s="104" t="s">
        <v>18</v>
      </c>
      <c r="J30" s="104">
        <v>3</v>
      </c>
      <c r="K30" s="104"/>
      <c r="L30" s="105">
        <v>18000000</v>
      </c>
      <c r="M30" s="105">
        <v>18000000</v>
      </c>
      <c r="N30" s="105">
        <f>18000000+9200000</f>
        <v>27200000</v>
      </c>
      <c r="O30" s="105">
        <v>20584000</v>
      </c>
      <c r="P30" s="105">
        <v>21000000</v>
      </c>
      <c r="Q30" s="105">
        <v>19853000</v>
      </c>
      <c r="S30" s="106"/>
    </row>
    <row r="31" spans="1:19" x14ac:dyDescent="0.25">
      <c r="A31" s="77" t="s">
        <v>616</v>
      </c>
      <c r="B31" s="77" t="s">
        <v>290</v>
      </c>
      <c r="C31" s="77" t="s">
        <v>617</v>
      </c>
      <c r="D31" s="77" t="s">
        <v>617</v>
      </c>
      <c r="E31" s="77" t="s">
        <v>90</v>
      </c>
      <c r="F31" s="77" t="s">
        <v>292</v>
      </c>
      <c r="G31" s="77" t="s">
        <v>16</v>
      </c>
      <c r="H31" s="77" t="s">
        <v>559</v>
      </c>
      <c r="I31" s="82" t="s">
        <v>18</v>
      </c>
      <c r="J31" s="82">
        <v>3</v>
      </c>
      <c r="K31" s="82"/>
      <c r="L31" s="74">
        <v>3851000</v>
      </c>
      <c r="M31" s="105">
        <v>3851000</v>
      </c>
      <c r="N31" s="105">
        <v>3851000</v>
      </c>
      <c r="O31" s="105">
        <v>4035000</v>
      </c>
      <c r="P31" s="105">
        <v>0</v>
      </c>
      <c r="Q31" s="105">
        <v>0</v>
      </c>
    </row>
    <row r="32" spans="1:19" hidden="1" x14ac:dyDescent="0.25">
      <c r="A32" s="76" t="s">
        <v>1952</v>
      </c>
      <c r="B32" s="77"/>
      <c r="C32" s="77" t="s">
        <v>1872</v>
      </c>
      <c r="D32" s="77" t="s">
        <v>1872</v>
      </c>
      <c r="E32" s="77"/>
      <c r="F32" s="77"/>
      <c r="G32" s="77"/>
      <c r="H32" s="77"/>
      <c r="I32" s="82"/>
      <c r="J32" s="82"/>
      <c r="K32" s="82"/>
      <c r="L32" s="83">
        <v>0</v>
      </c>
      <c r="M32" s="104"/>
      <c r="N32" s="104"/>
      <c r="O32" s="104"/>
      <c r="P32" s="104"/>
      <c r="Q32" s="104"/>
    </row>
    <row r="33" spans="1:19" x14ac:dyDescent="0.25">
      <c r="A33" s="77" t="s">
        <v>603</v>
      </c>
      <c r="B33" s="77" t="s">
        <v>290</v>
      </c>
      <c r="C33" s="77" t="s">
        <v>486</v>
      </c>
      <c r="D33" s="77" t="s">
        <v>604</v>
      </c>
      <c r="E33" s="77" t="s">
        <v>90</v>
      </c>
      <c r="F33" s="77" t="s">
        <v>292</v>
      </c>
      <c r="G33" s="77" t="s">
        <v>16</v>
      </c>
      <c r="H33" s="77" t="s">
        <v>559</v>
      </c>
      <c r="I33" s="82" t="s">
        <v>18</v>
      </c>
      <c r="J33" s="82">
        <v>3</v>
      </c>
      <c r="K33" s="82"/>
      <c r="L33" s="74">
        <v>32000</v>
      </c>
      <c r="M33" s="105">
        <v>32000</v>
      </c>
      <c r="N33" s="105">
        <v>32000</v>
      </c>
      <c r="O33" s="105">
        <v>33280</v>
      </c>
      <c r="P33" s="105">
        <v>34744.32</v>
      </c>
      <c r="Q33" s="105">
        <v>36307.814400000003</v>
      </c>
    </row>
    <row r="34" spans="1:19" x14ac:dyDescent="0.25">
      <c r="A34" s="77" t="s">
        <v>601</v>
      </c>
      <c r="B34" s="77" t="s">
        <v>290</v>
      </c>
      <c r="C34" s="77" t="s">
        <v>599</v>
      </c>
      <c r="D34" s="77" t="s">
        <v>602</v>
      </c>
      <c r="E34" s="77" t="s">
        <v>90</v>
      </c>
      <c r="F34" s="77" t="s">
        <v>292</v>
      </c>
      <c r="G34" s="77" t="s">
        <v>16</v>
      </c>
      <c r="H34" s="77" t="s">
        <v>559</v>
      </c>
      <c r="I34" s="82" t="s">
        <v>18</v>
      </c>
      <c r="J34" s="82">
        <v>3</v>
      </c>
      <c r="K34" s="82"/>
      <c r="L34" s="74">
        <v>3200000</v>
      </c>
      <c r="M34" s="105">
        <v>2608163</v>
      </c>
      <c r="N34" s="105">
        <v>2608163</v>
      </c>
      <c r="O34" s="105">
        <f>4340977.32+250000</f>
        <v>4590977.32</v>
      </c>
      <c r="P34" s="105">
        <v>4531980.3220800003</v>
      </c>
      <c r="Q34" s="105">
        <v>4735919.4365736004</v>
      </c>
    </row>
    <row r="35" spans="1:19" x14ac:dyDescent="0.25">
      <c r="A35" s="77" t="s">
        <v>598</v>
      </c>
      <c r="B35" s="77" t="s">
        <v>290</v>
      </c>
      <c r="C35" s="77" t="s">
        <v>599</v>
      </c>
      <c r="D35" s="77" t="s">
        <v>600</v>
      </c>
      <c r="E35" s="77" t="s">
        <v>90</v>
      </c>
      <c r="F35" s="77" t="s">
        <v>292</v>
      </c>
      <c r="G35" s="77" t="s">
        <v>16</v>
      </c>
      <c r="H35" s="77" t="s">
        <v>559</v>
      </c>
      <c r="I35" s="82" t="s">
        <v>18</v>
      </c>
      <c r="J35" s="82">
        <v>3</v>
      </c>
      <c r="K35" s="82"/>
      <c r="L35" s="74">
        <v>3900000</v>
      </c>
      <c r="M35" s="105">
        <v>3696950</v>
      </c>
      <c r="N35" s="105">
        <v>3696950</v>
      </c>
      <c r="O35" s="105">
        <f>4164813.20592+250000</f>
        <v>4414813.2059199996</v>
      </c>
      <c r="P35" s="105">
        <v>4348064.9869804801</v>
      </c>
      <c r="Q35" s="105">
        <v>4543727.9113946017</v>
      </c>
    </row>
    <row r="36" spans="1:19" x14ac:dyDescent="0.25">
      <c r="A36" s="77" t="s">
        <v>594</v>
      </c>
      <c r="B36" s="77" t="s">
        <v>290</v>
      </c>
      <c r="C36" s="77" t="s">
        <v>592</v>
      </c>
      <c r="D36" s="77" t="s">
        <v>1706</v>
      </c>
      <c r="E36" s="77" t="s">
        <v>90</v>
      </c>
      <c r="F36" s="77" t="s">
        <v>292</v>
      </c>
      <c r="G36" s="77" t="s">
        <v>16</v>
      </c>
      <c r="H36" s="77" t="s">
        <v>559</v>
      </c>
      <c r="I36" s="82" t="s">
        <v>18</v>
      </c>
      <c r="J36" s="82">
        <v>3</v>
      </c>
      <c r="K36" s="82"/>
      <c r="L36" s="74">
        <v>5155055</v>
      </c>
      <c r="M36" s="105">
        <v>121160</v>
      </c>
      <c r="N36" s="105">
        <v>121160</v>
      </c>
      <c r="O36" s="105">
        <v>126006.39999999999</v>
      </c>
      <c r="P36" s="105">
        <v>131550.68160000001</v>
      </c>
      <c r="Q36" s="105">
        <v>137470.462272</v>
      </c>
    </row>
    <row r="37" spans="1:19" x14ac:dyDescent="0.25">
      <c r="A37" s="77" t="s">
        <v>595</v>
      </c>
      <c r="B37" s="77" t="s">
        <v>290</v>
      </c>
      <c r="C37" s="77" t="s">
        <v>592</v>
      </c>
      <c r="D37" s="77" t="s">
        <v>1707</v>
      </c>
      <c r="E37" s="77" t="s">
        <v>90</v>
      </c>
      <c r="F37" s="77" t="s">
        <v>292</v>
      </c>
      <c r="G37" s="77" t="s">
        <v>16</v>
      </c>
      <c r="H37" s="77" t="s">
        <v>559</v>
      </c>
      <c r="I37" s="82" t="s">
        <v>18</v>
      </c>
      <c r="J37" s="82">
        <v>3</v>
      </c>
      <c r="K37" s="82"/>
      <c r="L37" s="74">
        <v>1962723</v>
      </c>
      <c r="M37" s="105">
        <v>2516279</v>
      </c>
      <c r="N37" s="105">
        <v>2516279</v>
      </c>
      <c r="O37" s="105">
        <v>2616930.16</v>
      </c>
      <c r="P37" s="105">
        <v>2732075.0870400006</v>
      </c>
      <c r="Q37" s="105">
        <v>2855018.4659568006</v>
      </c>
    </row>
    <row r="38" spans="1:19" s="134" customFormat="1" hidden="1" x14ac:dyDescent="0.25">
      <c r="A38" s="133" t="s">
        <v>596</v>
      </c>
      <c r="B38" s="133" t="s">
        <v>290</v>
      </c>
      <c r="C38" s="133" t="s">
        <v>592</v>
      </c>
      <c r="D38" s="133" t="s">
        <v>1708</v>
      </c>
      <c r="E38" s="133" t="s">
        <v>90</v>
      </c>
      <c r="F38" s="133" t="s">
        <v>292</v>
      </c>
      <c r="G38" s="133" t="s">
        <v>16</v>
      </c>
      <c r="H38" s="133" t="s">
        <v>559</v>
      </c>
      <c r="I38" s="82" t="s">
        <v>18</v>
      </c>
      <c r="J38" s="82">
        <v>3</v>
      </c>
      <c r="K38" s="82"/>
      <c r="L38" s="74">
        <v>0</v>
      </c>
      <c r="M38" s="105"/>
      <c r="N38" s="105"/>
      <c r="O38" s="105">
        <v>0</v>
      </c>
      <c r="P38" s="105">
        <v>0</v>
      </c>
      <c r="Q38" s="105">
        <v>0</v>
      </c>
      <c r="S38" s="79"/>
    </row>
    <row r="39" spans="1:19" x14ac:dyDescent="0.25">
      <c r="A39" s="77" t="s">
        <v>591</v>
      </c>
      <c r="B39" s="77" t="s">
        <v>290</v>
      </c>
      <c r="C39" s="77" t="s">
        <v>592</v>
      </c>
      <c r="D39" s="77" t="s">
        <v>1710</v>
      </c>
      <c r="E39" s="77" t="s">
        <v>90</v>
      </c>
      <c r="F39" s="77" t="s">
        <v>292</v>
      </c>
      <c r="G39" s="77" t="s">
        <v>16</v>
      </c>
      <c r="H39" s="77" t="s">
        <v>559</v>
      </c>
      <c r="I39" s="82" t="s">
        <v>18</v>
      </c>
      <c r="J39" s="82">
        <v>3</v>
      </c>
      <c r="K39" s="82"/>
      <c r="L39" s="74">
        <v>14040132</v>
      </c>
      <c r="M39" s="105">
        <v>18686917</v>
      </c>
      <c r="N39" s="105">
        <v>18686917</v>
      </c>
      <c r="O39" s="105">
        <v>19434393.68</v>
      </c>
      <c r="P39" s="105">
        <v>20289507.00192</v>
      </c>
      <c r="Q39" s="105">
        <v>21202534.817006398</v>
      </c>
    </row>
    <row r="40" spans="1:19" hidden="1" x14ac:dyDescent="0.25">
      <c r="A40" s="77" t="s">
        <v>597</v>
      </c>
      <c r="B40" s="77" t="s">
        <v>290</v>
      </c>
      <c r="C40" s="77" t="s">
        <v>592</v>
      </c>
      <c r="D40" s="77" t="s">
        <v>1709</v>
      </c>
      <c r="E40" s="77" t="s">
        <v>90</v>
      </c>
      <c r="F40" s="77" t="s">
        <v>292</v>
      </c>
      <c r="G40" s="77" t="s">
        <v>16</v>
      </c>
      <c r="H40" s="77" t="s">
        <v>559</v>
      </c>
      <c r="I40" s="82" t="s">
        <v>18</v>
      </c>
      <c r="J40" s="82">
        <v>3</v>
      </c>
      <c r="K40" s="82"/>
      <c r="L40" s="74">
        <v>0</v>
      </c>
      <c r="M40" s="105"/>
      <c r="N40" s="105"/>
      <c r="O40" s="105"/>
      <c r="P40" s="105"/>
      <c r="Q40" s="105"/>
    </row>
    <row r="41" spans="1:19" hidden="1" x14ac:dyDescent="0.25">
      <c r="A41" s="77" t="s">
        <v>644</v>
      </c>
      <c r="B41" s="77" t="s">
        <v>290</v>
      </c>
      <c r="C41" s="77" t="s">
        <v>645</v>
      </c>
      <c r="D41" s="77" t="s">
        <v>1709</v>
      </c>
      <c r="E41" s="77" t="s">
        <v>90</v>
      </c>
      <c r="F41" s="77" t="s">
        <v>295</v>
      </c>
      <c r="G41" s="77" t="s">
        <v>16</v>
      </c>
      <c r="H41" s="77" t="s">
        <v>559</v>
      </c>
      <c r="I41" s="82" t="s">
        <v>38</v>
      </c>
      <c r="J41" s="82">
        <v>1</v>
      </c>
      <c r="K41" s="82"/>
      <c r="L41" s="74">
        <v>0</v>
      </c>
      <c r="M41" s="105"/>
      <c r="N41" s="105"/>
      <c r="O41" s="105"/>
      <c r="P41" s="105"/>
      <c r="Q41" s="105"/>
    </row>
    <row r="42" spans="1:19" hidden="1" x14ac:dyDescent="0.25">
      <c r="A42" s="77" t="s">
        <v>642</v>
      </c>
      <c r="B42" s="77" t="s">
        <v>290</v>
      </c>
      <c r="C42" s="77" t="s">
        <v>347</v>
      </c>
      <c r="D42" s="77" t="s">
        <v>1709</v>
      </c>
      <c r="E42" s="77" t="s">
        <v>90</v>
      </c>
      <c r="F42" s="77" t="s">
        <v>295</v>
      </c>
      <c r="G42" s="77" t="s">
        <v>16</v>
      </c>
      <c r="H42" s="77" t="s">
        <v>559</v>
      </c>
      <c r="I42" s="82" t="s">
        <v>38</v>
      </c>
      <c r="J42" s="82">
        <v>1</v>
      </c>
      <c r="K42" s="82"/>
      <c r="L42" s="74">
        <v>0</v>
      </c>
      <c r="M42" s="105"/>
      <c r="N42" s="105"/>
      <c r="O42" s="105"/>
      <c r="P42" s="105"/>
      <c r="Q42" s="105"/>
    </row>
    <row r="43" spans="1:19" hidden="1" x14ac:dyDescent="0.25">
      <c r="A43" s="77" t="s">
        <v>648</v>
      </c>
      <c r="B43" s="77" t="s">
        <v>290</v>
      </c>
      <c r="C43" s="77" t="s">
        <v>347</v>
      </c>
      <c r="D43" s="77" t="s">
        <v>1709</v>
      </c>
      <c r="E43" s="77" t="s">
        <v>90</v>
      </c>
      <c r="F43" s="77" t="s">
        <v>295</v>
      </c>
      <c r="G43" s="77" t="s">
        <v>16</v>
      </c>
      <c r="H43" s="77" t="s">
        <v>559</v>
      </c>
      <c r="I43" s="82" t="s">
        <v>38</v>
      </c>
      <c r="J43" s="82">
        <v>1</v>
      </c>
      <c r="K43" s="82"/>
      <c r="L43" s="74">
        <v>0</v>
      </c>
      <c r="M43" s="105"/>
      <c r="N43" s="105"/>
      <c r="O43" s="105"/>
      <c r="P43" s="105"/>
      <c r="Q43" s="105"/>
    </row>
    <row r="44" spans="1:19" x14ac:dyDescent="0.25">
      <c r="A44" s="77" t="s">
        <v>593</v>
      </c>
      <c r="B44" s="77"/>
      <c r="C44" s="77"/>
      <c r="D44" s="77" t="s">
        <v>1819</v>
      </c>
      <c r="E44" s="77"/>
      <c r="F44" s="77"/>
      <c r="G44" s="77"/>
      <c r="H44" s="77"/>
      <c r="I44" s="82"/>
      <c r="J44" s="82"/>
      <c r="K44" s="82"/>
      <c r="L44" s="74">
        <v>352730</v>
      </c>
      <c r="M44" s="105">
        <v>203941</v>
      </c>
      <c r="N44" s="105">
        <v>203941</v>
      </c>
      <c r="O44" s="105">
        <v>212098.64</v>
      </c>
      <c r="P44" s="105">
        <v>221430.98016000004</v>
      </c>
      <c r="Q44" s="105">
        <v>231395.37426720004</v>
      </c>
    </row>
    <row r="45" spans="1:19" s="107" customFormat="1" x14ac:dyDescent="0.25">
      <c r="A45" s="52" t="s">
        <v>605</v>
      </c>
      <c r="B45" s="52" t="s">
        <v>290</v>
      </c>
      <c r="C45" s="52" t="s">
        <v>486</v>
      </c>
      <c r="D45" s="52" t="s">
        <v>606</v>
      </c>
      <c r="E45" s="52" t="s">
        <v>90</v>
      </c>
      <c r="F45" s="52" t="s">
        <v>292</v>
      </c>
      <c r="G45" s="52" t="s">
        <v>16</v>
      </c>
      <c r="H45" s="52" t="s">
        <v>559</v>
      </c>
      <c r="I45" s="104" t="s">
        <v>18</v>
      </c>
      <c r="J45" s="104">
        <v>3</v>
      </c>
      <c r="K45" s="104"/>
      <c r="L45" s="105">
        <v>141961</v>
      </c>
      <c r="M45" s="105">
        <v>141961</v>
      </c>
      <c r="N45" s="105">
        <v>141961</v>
      </c>
      <c r="O45" s="105">
        <v>150000</v>
      </c>
      <c r="P45" s="105">
        <v>156600</v>
      </c>
      <c r="Q45" s="105">
        <v>163647</v>
      </c>
      <c r="S45" s="106"/>
    </row>
    <row r="46" spans="1:19" x14ac:dyDescent="0.25">
      <c r="A46" s="77" t="s">
        <v>1820</v>
      </c>
      <c r="B46" s="77"/>
      <c r="C46" s="77"/>
      <c r="D46" s="77" t="s">
        <v>1821</v>
      </c>
      <c r="E46" s="77"/>
      <c r="F46" s="77"/>
      <c r="G46" s="77"/>
      <c r="H46" s="77"/>
      <c r="I46" s="82"/>
      <c r="J46" s="82"/>
      <c r="K46" s="82"/>
      <c r="L46" s="74">
        <v>250195</v>
      </c>
      <c r="M46" s="105">
        <v>17153</v>
      </c>
      <c r="N46" s="105">
        <v>17153</v>
      </c>
      <c r="O46" s="105">
        <v>50000</v>
      </c>
      <c r="P46" s="105">
        <v>52200</v>
      </c>
      <c r="Q46" s="105">
        <v>54549</v>
      </c>
    </row>
    <row r="47" spans="1:19" x14ac:dyDescent="0.25">
      <c r="A47" s="77" t="s">
        <v>634</v>
      </c>
      <c r="B47" s="77"/>
      <c r="C47" s="77"/>
      <c r="D47" s="77" t="s">
        <v>1822</v>
      </c>
      <c r="E47" s="77"/>
      <c r="F47" s="77"/>
      <c r="G47" s="77"/>
      <c r="H47" s="77"/>
      <c r="I47" s="82"/>
      <c r="J47" s="82"/>
      <c r="K47" s="82"/>
      <c r="L47" s="74">
        <v>0</v>
      </c>
      <c r="M47" s="105">
        <v>126310</v>
      </c>
      <c r="N47" s="105">
        <v>126310</v>
      </c>
      <c r="O47" s="105">
        <v>130000</v>
      </c>
      <c r="P47" s="105">
        <v>135720</v>
      </c>
      <c r="Q47" s="105">
        <v>141827.4</v>
      </c>
    </row>
    <row r="48" spans="1:19" hidden="1" x14ac:dyDescent="0.25">
      <c r="A48" s="77" t="s">
        <v>611</v>
      </c>
      <c r="B48" s="77" t="s">
        <v>290</v>
      </c>
      <c r="C48" s="77" t="s">
        <v>486</v>
      </c>
      <c r="D48" s="77" t="s">
        <v>612</v>
      </c>
      <c r="E48" s="77" t="s">
        <v>90</v>
      </c>
      <c r="F48" s="77" t="s">
        <v>292</v>
      </c>
      <c r="G48" s="77" t="s">
        <v>16</v>
      </c>
      <c r="H48" s="77" t="s">
        <v>559</v>
      </c>
      <c r="I48" s="82" t="s">
        <v>18</v>
      </c>
      <c r="J48" s="82">
        <v>3</v>
      </c>
      <c r="K48" s="82"/>
      <c r="M48" s="107"/>
      <c r="N48" s="107"/>
      <c r="O48" s="107"/>
      <c r="P48" s="107"/>
      <c r="Q48" s="107"/>
    </row>
    <row r="49" spans="1:20" hidden="1" x14ac:dyDescent="0.25">
      <c r="A49" s="77" t="s">
        <v>609</v>
      </c>
      <c r="B49" s="77" t="s">
        <v>290</v>
      </c>
      <c r="C49" s="77" t="s">
        <v>486</v>
      </c>
      <c r="D49" s="77" t="s">
        <v>610</v>
      </c>
      <c r="E49" s="77" t="s">
        <v>90</v>
      </c>
      <c r="F49" s="77" t="s">
        <v>292</v>
      </c>
      <c r="G49" s="77" t="s">
        <v>16</v>
      </c>
      <c r="H49" s="77" t="s">
        <v>559</v>
      </c>
      <c r="I49" s="82" t="s">
        <v>18</v>
      </c>
      <c r="J49" s="82">
        <v>3</v>
      </c>
      <c r="K49" s="82"/>
      <c r="M49" s="107"/>
      <c r="N49" s="107"/>
      <c r="O49" s="107"/>
      <c r="P49" s="107"/>
      <c r="Q49" s="107"/>
    </row>
    <row r="50" spans="1:20" hidden="1" x14ac:dyDescent="0.25">
      <c r="A50" s="77" t="s">
        <v>638</v>
      </c>
      <c r="B50" s="77" t="s">
        <v>290</v>
      </c>
      <c r="C50" s="77" t="s">
        <v>639</v>
      </c>
      <c r="D50" s="77" t="s">
        <v>640</v>
      </c>
      <c r="E50" s="77" t="s">
        <v>90</v>
      </c>
      <c r="F50" s="77" t="s">
        <v>292</v>
      </c>
      <c r="G50" s="77" t="s">
        <v>16</v>
      </c>
      <c r="H50" s="77" t="s">
        <v>559</v>
      </c>
      <c r="I50" s="82" t="s">
        <v>18</v>
      </c>
      <c r="J50" s="82">
        <v>3</v>
      </c>
      <c r="K50" s="82"/>
      <c r="M50" s="105"/>
      <c r="N50" s="105"/>
      <c r="O50" s="105"/>
      <c r="P50" s="105"/>
      <c r="Q50" s="105"/>
    </row>
    <row r="51" spans="1:20" hidden="1" x14ac:dyDescent="0.25">
      <c r="A51" s="77" t="s">
        <v>1810</v>
      </c>
      <c r="B51" s="77"/>
      <c r="C51" s="77"/>
      <c r="D51" s="77" t="s">
        <v>1731</v>
      </c>
      <c r="E51" s="77"/>
      <c r="F51" s="77"/>
      <c r="G51" s="77"/>
      <c r="H51" s="77"/>
      <c r="I51" s="82"/>
      <c r="J51" s="82"/>
      <c r="K51" s="82"/>
      <c r="M51" s="107"/>
      <c r="N51" s="107"/>
      <c r="O51" s="107"/>
      <c r="P51" s="107"/>
      <c r="Q51" s="107"/>
    </row>
    <row r="52" spans="1:20" s="134" customFormat="1" x14ac:dyDescent="0.25">
      <c r="A52" s="141" t="s">
        <v>2182</v>
      </c>
      <c r="B52" s="133"/>
      <c r="C52" s="133"/>
      <c r="D52" s="133" t="s">
        <v>2117</v>
      </c>
      <c r="E52" s="133"/>
      <c r="F52" s="133"/>
      <c r="G52" s="133"/>
      <c r="H52" s="133"/>
      <c r="I52" s="82"/>
      <c r="J52" s="82"/>
      <c r="K52" s="82"/>
      <c r="L52" s="74">
        <f>1200000+19048144</f>
        <v>20248144</v>
      </c>
      <c r="M52" s="105">
        <f>20248144+9100000</f>
        <v>29348144</v>
      </c>
      <c r="N52" s="105">
        <v>29348144</v>
      </c>
      <c r="O52" s="105">
        <f>2855981+5000000</f>
        <v>7855981</v>
      </c>
      <c r="P52" s="105">
        <f>2981644+5000000</f>
        <v>7981644</v>
      </c>
      <c r="Q52" s="105">
        <f>3115818+5000000</f>
        <v>8115818</v>
      </c>
      <c r="S52" s="79"/>
    </row>
    <row r="53" spans="1:20" x14ac:dyDescent="0.25">
      <c r="A53" s="77"/>
      <c r="B53" s="77"/>
      <c r="C53" s="77"/>
      <c r="D53" s="77"/>
      <c r="E53" s="77"/>
      <c r="F53" s="77"/>
      <c r="G53" s="77"/>
      <c r="H53" s="77"/>
      <c r="I53" s="82"/>
      <c r="J53" s="82"/>
      <c r="K53" s="82"/>
    </row>
    <row r="54" spans="1:20" x14ac:dyDescent="0.25">
      <c r="A54" s="89" t="s">
        <v>1609</v>
      </c>
      <c r="B54" s="89"/>
      <c r="C54" s="89"/>
      <c r="D54" s="89"/>
      <c r="E54" s="89"/>
      <c r="F54" s="89"/>
      <c r="G54" s="89"/>
      <c r="H54" s="89"/>
      <c r="L54" s="84">
        <f t="shared" ref="L54:Q54" si="0">SUM(L6:L53)</f>
        <v>534140036</v>
      </c>
      <c r="M54" s="84">
        <f t="shared" si="0"/>
        <v>542782421.24000001</v>
      </c>
      <c r="N54" s="84">
        <f t="shared" si="0"/>
        <v>551982421.24000001</v>
      </c>
      <c r="O54" s="84">
        <f t="shared" si="0"/>
        <v>567979301.37551987</v>
      </c>
      <c r="P54" s="84">
        <f t="shared" si="0"/>
        <v>594318138.4720428</v>
      </c>
      <c r="Q54" s="84">
        <f t="shared" si="0"/>
        <v>626398684.72328484</v>
      </c>
      <c r="R54" s="90"/>
      <c r="T54" s="90"/>
    </row>
    <row r="55" spans="1:20" x14ac:dyDescent="0.25">
      <c r="A55" s="77"/>
      <c r="B55" s="77"/>
      <c r="C55" s="77"/>
      <c r="D55" s="77"/>
      <c r="E55" s="77"/>
      <c r="F55" s="77"/>
      <c r="G55" s="77"/>
      <c r="H55" s="77"/>
      <c r="I55" s="82"/>
      <c r="J55" s="82"/>
      <c r="K55" s="82"/>
    </row>
    <row r="56" spans="1:20" x14ac:dyDescent="0.25">
      <c r="A56" s="77" t="s">
        <v>660</v>
      </c>
      <c r="B56" s="77" t="s">
        <v>11</v>
      </c>
      <c r="C56" s="77" t="s">
        <v>12</v>
      </c>
      <c r="D56" s="77" t="s">
        <v>157</v>
      </c>
      <c r="E56" s="77" t="s">
        <v>90</v>
      </c>
      <c r="F56" s="77" t="s">
        <v>15</v>
      </c>
      <c r="G56" s="77" t="s">
        <v>16</v>
      </c>
      <c r="H56" s="77" t="s">
        <v>559</v>
      </c>
      <c r="I56" s="82" t="s">
        <v>18</v>
      </c>
      <c r="J56" s="82">
        <v>3</v>
      </c>
      <c r="K56" s="82"/>
      <c r="L56" s="83">
        <v>6429434.2919999985</v>
      </c>
      <c r="M56" s="83">
        <v>4639158.05</v>
      </c>
      <c r="N56" s="83">
        <v>4639158.05</v>
      </c>
      <c r="O56" s="83">
        <f>S56</f>
        <v>6721981.1743199984</v>
      </c>
      <c r="P56" s="83">
        <f>O56*1.044</f>
        <v>7017748.3459900785</v>
      </c>
      <c r="Q56" s="83">
        <f>P56*1.045</f>
        <v>7333547.0215596315</v>
      </c>
      <c r="S56" s="145">
        <f>'[1]6115REV'!$E$29</f>
        <v>6721981.1743199984</v>
      </c>
    </row>
    <row r="57" spans="1:20" hidden="1" x14ac:dyDescent="0.25">
      <c r="A57" s="77" t="s">
        <v>563</v>
      </c>
      <c r="B57" s="77" t="s">
        <v>11</v>
      </c>
      <c r="C57" s="77" t="s">
        <v>12</v>
      </c>
      <c r="D57" s="77" t="s">
        <v>86</v>
      </c>
      <c r="E57" s="77" t="s">
        <v>90</v>
      </c>
      <c r="F57" s="77" t="s">
        <v>37</v>
      </c>
      <c r="G57" s="77" t="s">
        <v>16</v>
      </c>
      <c r="H57" s="77" t="s">
        <v>559</v>
      </c>
      <c r="I57" s="82" t="s">
        <v>38</v>
      </c>
      <c r="J57" s="82">
        <v>1</v>
      </c>
      <c r="K57" s="82"/>
      <c r="L57" s="83"/>
      <c r="M57" s="83">
        <v>0</v>
      </c>
      <c r="N57" s="83">
        <v>0</v>
      </c>
      <c r="O57" s="83">
        <f t="shared" ref="O57:O71" si="1">S57</f>
        <v>0</v>
      </c>
      <c r="P57" s="83">
        <f t="shared" ref="P57:P71" si="2">O57*1.044</f>
        <v>0</v>
      </c>
      <c r="Q57" s="83">
        <f t="shared" ref="Q57:Q71" si="3">P57*1.045</f>
        <v>0</v>
      </c>
      <c r="S57" s="145"/>
    </row>
    <row r="58" spans="1:20" x14ac:dyDescent="0.25">
      <c r="A58" s="77" t="s">
        <v>657</v>
      </c>
      <c r="B58" s="77" t="s">
        <v>11</v>
      </c>
      <c r="C58" s="77" t="s">
        <v>12</v>
      </c>
      <c r="D58" s="77" t="s">
        <v>1638</v>
      </c>
      <c r="E58" s="77" t="s">
        <v>90</v>
      </c>
      <c r="F58" s="77" t="s">
        <v>15</v>
      </c>
      <c r="G58" s="77" t="s">
        <v>16</v>
      </c>
      <c r="H58" s="77" t="s">
        <v>559</v>
      </c>
      <c r="I58" s="82" t="s">
        <v>18</v>
      </c>
      <c r="J58" s="82">
        <v>3</v>
      </c>
      <c r="K58" s="82"/>
      <c r="L58" s="83">
        <v>100000</v>
      </c>
      <c r="M58" s="83">
        <v>100000</v>
      </c>
      <c r="N58" s="83">
        <v>100000</v>
      </c>
      <c r="O58" s="83">
        <v>90000</v>
      </c>
      <c r="P58" s="83">
        <v>100000</v>
      </c>
      <c r="Q58" s="83">
        <v>110000</v>
      </c>
      <c r="S58" s="145"/>
    </row>
    <row r="59" spans="1:20" x14ac:dyDescent="0.25">
      <c r="A59" s="77" t="s">
        <v>656</v>
      </c>
      <c r="B59" s="77" t="s">
        <v>11</v>
      </c>
      <c r="C59" s="77" t="s">
        <v>12</v>
      </c>
      <c r="D59" s="77" t="s">
        <v>153</v>
      </c>
      <c r="E59" s="77" t="s">
        <v>90</v>
      </c>
      <c r="F59" s="77" t="s">
        <v>15</v>
      </c>
      <c r="G59" s="77" t="s">
        <v>16</v>
      </c>
      <c r="H59" s="77" t="s">
        <v>559</v>
      </c>
      <c r="I59" s="82" t="s">
        <v>18</v>
      </c>
      <c r="J59" s="82">
        <v>3</v>
      </c>
      <c r="K59" s="82"/>
      <c r="L59" s="83">
        <v>535786.19099999988</v>
      </c>
      <c r="M59" s="83">
        <v>369796.9</v>
      </c>
      <c r="N59" s="83">
        <v>369796.9</v>
      </c>
      <c r="O59" s="83">
        <f t="shared" si="1"/>
        <v>560165.0978600001</v>
      </c>
      <c r="P59" s="83">
        <f t="shared" si="2"/>
        <v>584812.36216584011</v>
      </c>
      <c r="Q59" s="83">
        <f t="shared" si="3"/>
        <v>611128.91846330289</v>
      </c>
      <c r="S59" s="145">
        <f>'[1]6115REV'!$I$29</f>
        <v>560165.0978600001</v>
      </c>
    </row>
    <row r="60" spans="1:20" x14ac:dyDescent="0.25">
      <c r="A60" s="77" t="s">
        <v>654</v>
      </c>
      <c r="B60" s="77" t="s">
        <v>11</v>
      </c>
      <c r="C60" s="77" t="s">
        <v>12</v>
      </c>
      <c r="D60" s="77" t="s">
        <v>155</v>
      </c>
      <c r="E60" s="77" t="s">
        <v>90</v>
      </c>
      <c r="F60" s="77" t="s">
        <v>15</v>
      </c>
      <c r="G60" s="77" t="s">
        <v>16</v>
      </c>
      <c r="H60" s="77" t="s">
        <v>559</v>
      </c>
      <c r="I60" s="82" t="s">
        <v>18</v>
      </c>
      <c r="J60" s="82">
        <v>3</v>
      </c>
      <c r="K60" s="82"/>
      <c r="L60" s="83">
        <v>18570.413280000001</v>
      </c>
      <c r="M60" s="83">
        <v>18570.413280000001</v>
      </c>
      <c r="N60" s="83">
        <v>18570.413280000001</v>
      </c>
      <c r="O60" s="83">
        <f t="shared" si="1"/>
        <v>55252.46</v>
      </c>
      <c r="P60" s="83">
        <f t="shared" si="2"/>
        <v>57683.568240000001</v>
      </c>
      <c r="Q60" s="83">
        <f t="shared" si="3"/>
        <v>60279.328810799998</v>
      </c>
      <c r="S60" s="145">
        <f>'[2]6115REV'!$J$29</f>
        <v>55252.46</v>
      </c>
    </row>
    <row r="61" spans="1:20" x14ac:dyDescent="0.25">
      <c r="A61" s="77" t="s">
        <v>652</v>
      </c>
      <c r="B61" s="77" t="s">
        <v>11</v>
      </c>
      <c r="C61" s="77" t="s">
        <v>12</v>
      </c>
      <c r="D61" s="77" t="s">
        <v>41</v>
      </c>
      <c r="E61" s="77" t="s">
        <v>90</v>
      </c>
      <c r="F61" s="77" t="s">
        <v>15</v>
      </c>
      <c r="G61" s="77" t="s">
        <v>16</v>
      </c>
      <c r="H61" s="77" t="s">
        <v>559</v>
      </c>
      <c r="I61" s="82" t="s">
        <v>18</v>
      </c>
      <c r="J61" s="82">
        <v>3</v>
      </c>
      <c r="K61" s="82"/>
      <c r="L61" s="83">
        <v>1414475.54424</v>
      </c>
      <c r="M61" s="83">
        <v>971644.80019999971</v>
      </c>
      <c r="N61" s="83">
        <v>971644.80019999971</v>
      </c>
      <c r="O61" s="83">
        <f t="shared" si="1"/>
        <v>1478835.8583503996</v>
      </c>
      <c r="P61" s="83">
        <f t="shared" si="2"/>
        <v>1543904.6361178174</v>
      </c>
      <c r="Q61" s="83">
        <f t="shared" si="3"/>
        <v>1613380.3447431191</v>
      </c>
      <c r="S61" s="145">
        <f>'[1]6115REV'!$K$29</f>
        <v>1478835.8583503996</v>
      </c>
    </row>
    <row r="62" spans="1:20" x14ac:dyDescent="0.25">
      <c r="A62" s="77" t="s">
        <v>651</v>
      </c>
      <c r="B62" s="77" t="s">
        <v>11</v>
      </c>
      <c r="C62" s="77" t="s">
        <v>12</v>
      </c>
      <c r="D62" s="77" t="s">
        <v>36</v>
      </c>
      <c r="E62" s="77" t="s">
        <v>90</v>
      </c>
      <c r="F62" s="77" t="s">
        <v>15</v>
      </c>
      <c r="G62" s="77" t="s">
        <v>16</v>
      </c>
      <c r="H62" s="77" t="s">
        <v>559</v>
      </c>
      <c r="I62" s="82" t="s">
        <v>18</v>
      </c>
      <c r="J62" s="82">
        <v>3</v>
      </c>
      <c r="K62" s="82"/>
      <c r="L62" s="83">
        <v>337024.8</v>
      </c>
      <c r="M62" s="83">
        <v>291148.40000000002</v>
      </c>
      <c r="N62" s="83">
        <v>291148.40000000002</v>
      </c>
      <c r="O62" s="83">
        <f t="shared" si="1"/>
        <v>391111.2</v>
      </c>
      <c r="P62" s="83">
        <f t="shared" si="2"/>
        <v>408320.09280000004</v>
      </c>
      <c r="Q62" s="83">
        <f t="shared" si="3"/>
        <v>426694.49697600002</v>
      </c>
      <c r="S62" s="145">
        <f>'[1]6115REV'!$L$29</f>
        <v>391111.2</v>
      </c>
    </row>
    <row r="63" spans="1:20" x14ac:dyDescent="0.25">
      <c r="A63" s="77" t="s">
        <v>659</v>
      </c>
      <c r="B63" s="77" t="s">
        <v>11</v>
      </c>
      <c r="C63" s="77" t="s">
        <v>12</v>
      </c>
      <c r="D63" s="77" t="s">
        <v>47</v>
      </c>
      <c r="E63" s="77" t="s">
        <v>90</v>
      </c>
      <c r="F63" s="77" t="s">
        <v>15</v>
      </c>
      <c r="G63" s="77" t="s">
        <v>16</v>
      </c>
      <c r="H63" s="77" t="s">
        <v>559</v>
      </c>
      <c r="I63" s="82" t="s">
        <v>18</v>
      </c>
      <c r="J63" s="82">
        <v>3</v>
      </c>
      <c r="K63" s="82"/>
      <c r="L63" s="83">
        <v>392274.6</v>
      </c>
      <c r="M63" s="83">
        <v>292835.25</v>
      </c>
      <c r="N63" s="83">
        <v>292835.25</v>
      </c>
      <c r="O63" s="83">
        <f t="shared" si="1"/>
        <v>425898.48971999995</v>
      </c>
      <c r="P63" s="83">
        <f t="shared" si="2"/>
        <v>444638.02326767996</v>
      </c>
      <c r="Q63" s="83">
        <f t="shared" si="3"/>
        <v>464646.73431472556</v>
      </c>
      <c r="S63" s="145">
        <f>'[1]6115REV'!$M$29</f>
        <v>425898.48971999995</v>
      </c>
    </row>
    <row r="64" spans="1:20" x14ac:dyDescent="0.25">
      <c r="A64" s="77" t="s">
        <v>643</v>
      </c>
      <c r="B64" s="77" t="s">
        <v>11</v>
      </c>
      <c r="C64" s="77" t="s">
        <v>12</v>
      </c>
      <c r="D64" s="77" t="s">
        <v>45</v>
      </c>
      <c r="E64" s="77" t="s">
        <v>90</v>
      </c>
      <c r="F64" s="77" t="s">
        <v>37</v>
      </c>
      <c r="G64" s="77" t="s">
        <v>16</v>
      </c>
      <c r="H64" s="77" t="s">
        <v>559</v>
      </c>
      <c r="I64" s="82" t="s">
        <v>38</v>
      </c>
      <c r="J64" s="82">
        <v>3</v>
      </c>
      <c r="K64" s="82"/>
      <c r="L64" s="83">
        <v>122730.72</v>
      </c>
      <c r="M64" s="83">
        <v>30448.86</v>
      </c>
      <c r="N64" s="83">
        <v>30448.86</v>
      </c>
      <c r="O64" s="83">
        <f t="shared" si="1"/>
        <v>129235.83491999999</v>
      </c>
      <c r="P64" s="83">
        <f t="shared" si="2"/>
        <v>134922.21165648001</v>
      </c>
      <c r="Q64" s="83">
        <f t="shared" si="3"/>
        <v>140993.71118102159</v>
      </c>
      <c r="S64" s="145">
        <f>'[1]6115REV'!$N$29</f>
        <v>129235.83491999999</v>
      </c>
    </row>
    <row r="65" spans="1:19" x14ac:dyDescent="0.25">
      <c r="A65" s="77" t="s">
        <v>658</v>
      </c>
      <c r="B65" s="77" t="s">
        <v>11</v>
      </c>
      <c r="C65" s="77" t="s">
        <v>12</v>
      </c>
      <c r="D65" s="77" t="s">
        <v>156</v>
      </c>
      <c r="E65" s="77" t="s">
        <v>90</v>
      </c>
      <c r="F65" s="77" t="s">
        <v>15</v>
      </c>
      <c r="G65" s="77" t="s">
        <v>16</v>
      </c>
      <c r="H65" s="77" t="s">
        <v>559</v>
      </c>
      <c r="I65" s="82" t="s">
        <v>18</v>
      </c>
      <c r="J65" s="82">
        <v>3</v>
      </c>
      <c r="K65" s="82"/>
      <c r="L65" s="83">
        <v>48565.007519999992</v>
      </c>
      <c r="M65" s="83">
        <v>40509.42</v>
      </c>
      <c r="N65" s="83">
        <v>40509.42</v>
      </c>
      <c r="O65" s="83">
        <f t="shared" si="1"/>
        <v>48565.007519999992</v>
      </c>
      <c r="P65" s="83">
        <f t="shared" si="2"/>
        <v>50701.867850879993</v>
      </c>
      <c r="Q65" s="83">
        <f t="shared" si="3"/>
        <v>52983.451904169589</v>
      </c>
      <c r="S65" s="145">
        <f>'[1]6115REV'!$P$29</f>
        <v>48565.007519999992</v>
      </c>
    </row>
    <row r="66" spans="1:19" x14ac:dyDescent="0.25">
      <c r="A66" s="77" t="s">
        <v>650</v>
      </c>
      <c r="B66" s="77" t="s">
        <v>11</v>
      </c>
      <c r="C66" s="77" t="s">
        <v>12</v>
      </c>
      <c r="D66" s="77" t="s">
        <v>151</v>
      </c>
      <c r="E66" s="77" t="s">
        <v>90</v>
      </c>
      <c r="F66" s="77" t="s">
        <v>15</v>
      </c>
      <c r="G66" s="77" t="s">
        <v>16</v>
      </c>
      <c r="H66" s="77" t="s">
        <v>559</v>
      </c>
      <c r="I66" s="82" t="s">
        <v>18</v>
      </c>
      <c r="J66" s="82">
        <v>3</v>
      </c>
      <c r="K66" s="82"/>
      <c r="L66" s="83">
        <v>2970.0000000000009</v>
      </c>
      <c r="M66" s="83">
        <v>2059.9999999999991</v>
      </c>
      <c r="N66" s="83">
        <v>2059.9999999999991</v>
      </c>
      <c r="O66" s="83">
        <f t="shared" si="1"/>
        <v>3089.9999999999986</v>
      </c>
      <c r="P66" s="83">
        <f t="shared" si="2"/>
        <v>3225.9599999999987</v>
      </c>
      <c r="Q66" s="83">
        <f t="shared" si="3"/>
        <v>3371.1281999999983</v>
      </c>
      <c r="S66" s="145">
        <f>'[1]6115REV'!$R$29</f>
        <v>3089.9999999999986</v>
      </c>
    </row>
    <row r="67" spans="1:19" hidden="1" x14ac:dyDescent="0.25">
      <c r="A67" s="77" t="s">
        <v>655</v>
      </c>
      <c r="B67" s="77" t="s">
        <v>11</v>
      </c>
      <c r="C67" s="77" t="s">
        <v>12</v>
      </c>
      <c r="D67" s="77" t="s">
        <v>193</v>
      </c>
      <c r="E67" s="77" t="s">
        <v>90</v>
      </c>
      <c r="F67" s="77" t="s">
        <v>15</v>
      </c>
      <c r="G67" s="77" t="s">
        <v>16</v>
      </c>
      <c r="H67" s="77" t="s">
        <v>559</v>
      </c>
      <c r="I67" s="82" t="s">
        <v>18</v>
      </c>
      <c r="J67" s="82">
        <v>3</v>
      </c>
      <c r="K67" s="82"/>
      <c r="L67" s="83">
        <v>0</v>
      </c>
      <c r="M67" s="83">
        <v>0</v>
      </c>
      <c r="N67" s="83">
        <v>0</v>
      </c>
      <c r="O67" s="83">
        <f t="shared" si="1"/>
        <v>0</v>
      </c>
      <c r="P67" s="83">
        <f t="shared" si="2"/>
        <v>0</v>
      </c>
      <c r="Q67" s="83">
        <f t="shared" si="3"/>
        <v>0</v>
      </c>
      <c r="S67" s="145">
        <f>'[4]6115REV'!$S$29</f>
        <v>0</v>
      </c>
    </row>
    <row r="68" spans="1:19" x14ac:dyDescent="0.25">
      <c r="A68" s="77" t="s">
        <v>653</v>
      </c>
      <c r="B68" s="77" t="s">
        <v>11</v>
      </c>
      <c r="C68" s="77" t="s">
        <v>12</v>
      </c>
      <c r="D68" s="77" t="s">
        <v>43</v>
      </c>
      <c r="E68" s="77" t="s">
        <v>90</v>
      </c>
      <c r="F68" s="77" t="s">
        <v>15</v>
      </c>
      <c r="G68" s="77" t="s">
        <v>16</v>
      </c>
      <c r="H68" s="77" t="s">
        <v>559</v>
      </c>
      <c r="I68" s="82" t="s">
        <v>18</v>
      </c>
      <c r="J68" s="82">
        <v>3</v>
      </c>
      <c r="K68" s="82"/>
      <c r="L68" s="83">
        <v>37434.000000000007</v>
      </c>
      <c r="M68" s="83">
        <v>37432.018899999995</v>
      </c>
      <c r="N68" s="83">
        <v>37432.018899999995</v>
      </c>
      <c r="O68" s="83">
        <f t="shared" si="1"/>
        <v>37434.000000000007</v>
      </c>
      <c r="P68" s="83">
        <f t="shared" si="2"/>
        <v>39081.096000000012</v>
      </c>
      <c r="Q68" s="83">
        <f t="shared" si="3"/>
        <v>40839.745320000009</v>
      </c>
      <c r="S68" s="145">
        <f>'[1]6115REV'!$T$29</f>
        <v>37434.000000000007</v>
      </c>
    </row>
    <row r="69" spans="1:19" x14ac:dyDescent="0.25">
      <c r="A69" s="31" t="s">
        <v>2159</v>
      </c>
      <c r="B69" s="77"/>
      <c r="C69" s="77"/>
      <c r="D69" s="77" t="s">
        <v>162</v>
      </c>
      <c r="E69" s="77"/>
      <c r="F69" s="77"/>
      <c r="G69" s="77"/>
      <c r="H69" s="77"/>
      <c r="I69" s="82"/>
      <c r="J69" s="82"/>
      <c r="K69" s="82"/>
      <c r="L69" s="83">
        <v>44568.991871999999</v>
      </c>
      <c r="M69" s="83">
        <v>44568.991871999999</v>
      </c>
      <c r="N69" s="83">
        <v>44568.991871999999</v>
      </c>
      <c r="O69" s="83">
        <f t="shared" si="1"/>
        <v>45997.23</v>
      </c>
      <c r="P69" s="83">
        <f t="shared" si="2"/>
        <v>48021.108120000004</v>
      </c>
      <c r="Q69" s="83">
        <f t="shared" si="3"/>
        <v>50182.057985400003</v>
      </c>
      <c r="S69" s="145">
        <f>'[1]6115REV'!$F$29</f>
        <v>45997.23</v>
      </c>
    </row>
    <row r="70" spans="1:19" x14ac:dyDescent="0.25">
      <c r="A70" s="77"/>
      <c r="B70" s="77"/>
      <c r="C70" s="77"/>
      <c r="D70" s="77"/>
      <c r="E70" s="77"/>
      <c r="F70" s="77"/>
      <c r="G70" s="77"/>
      <c r="H70" s="77"/>
      <c r="I70" s="82"/>
      <c r="J70" s="82"/>
      <c r="K70" s="82"/>
      <c r="L70" s="83"/>
      <c r="M70" s="83"/>
      <c r="N70" s="83"/>
      <c r="O70" s="83"/>
      <c r="P70" s="83"/>
      <c r="Q70" s="83"/>
      <c r="S70" s="145"/>
    </row>
    <row r="71" spans="1:19" x14ac:dyDescent="0.25">
      <c r="A71" s="77" t="s">
        <v>649</v>
      </c>
      <c r="B71" s="77" t="s">
        <v>11</v>
      </c>
      <c r="C71" s="77" t="s">
        <v>12</v>
      </c>
      <c r="D71" s="77" t="s">
        <v>30</v>
      </c>
      <c r="E71" s="77" t="s">
        <v>90</v>
      </c>
      <c r="F71" s="77" t="s">
        <v>15</v>
      </c>
      <c r="G71" s="77" t="s">
        <v>16</v>
      </c>
      <c r="H71" s="77" t="s">
        <v>559</v>
      </c>
      <c r="I71" s="82" t="s">
        <v>18</v>
      </c>
      <c r="J71" s="82">
        <v>3</v>
      </c>
      <c r="K71" s="82"/>
      <c r="L71" s="83">
        <v>64294.342919999988</v>
      </c>
      <c r="M71" s="83">
        <v>48249.354099999997</v>
      </c>
      <c r="N71" s="83">
        <v>48249.354099999997</v>
      </c>
      <c r="O71" s="83">
        <f t="shared" si="1"/>
        <v>67219.8117432</v>
      </c>
      <c r="P71" s="83">
        <f t="shared" si="2"/>
        <v>70177.483459900803</v>
      </c>
      <c r="Q71" s="83">
        <f t="shared" si="3"/>
        <v>73335.470215596331</v>
      </c>
      <c r="S71" s="145">
        <f>'[1]6115REV'!$Q$29</f>
        <v>67219.8117432</v>
      </c>
    </row>
    <row r="72" spans="1:19" x14ac:dyDescent="0.25">
      <c r="A72" s="77" t="s">
        <v>628</v>
      </c>
      <c r="B72" s="77" t="s">
        <v>290</v>
      </c>
      <c r="C72" s="77" t="s">
        <v>547</v>
      </c>
      <c r="D72" s="77" t="s">
        <v>1656</v>
      </c>
      <c r="E72" s="77" t="s">
        <v>90</v>
      </c>
      <c r="F72" s="77" t="s">
        <v>292</v>
      </c>
      <c r="G72" s="77" t="s">
        <v>16</v>
      </c>
      <c r="H72" s="77" t="s">
        <v>559</v>
      </c>
      <c r="I72" s="82" t="s">
        <v>18</v>
      </c>
      <c r="J72" s="82">
        <v>3</v>
      </c>
      <c r="K72" s="82"/>
      <c r="L72" s="74">
        <v>32000000</v>
      </c>
      <c r="M72" s="74">
        <f>32000000-3000000</f>
        <v>29000000</v>
      </c>
      <c r="N72" s="74">
        <v>29000000</v>
      </c>
      <c r="O72" s="74">
        <v>29000000</v>
      </c>
      <c r="P72" s="74">
        <v>30000000</v>
      </c>
      <c r="Q72" s="74">
        <v>31000000</v>
      </c>
      <c r="R72" s="79"/>
    </row>
    <row r="73" spans="1:19" hidden="1" x14ac:dyDescent="0.25">
      <c r="A73" s="77" t="s">
        <v>625</v>
      </c>
      <c r="B73" s="77" t="s">
        <v>290</v>
      </c>
      <c r="C73" s="77" t="s">
        <v>547</v>
      </c>
      <c r="D73" s="77" t="s">
        <v>1657</v>
      </c>
      <c r="E73" s="77" t="s">
        <v>90</v>
      </c>
      <c r="F73" s="77" t="s">
        <v>295</v>
      </c>
      <c r="G73" s="77" t="s">
        <v>16</v>
      </c>
      <c r="H73" s="77" t="s">
        <v>559</v>
      </c>
      <c r="I73" s="82" t="s">
        <v>38</v>
      </c>
      <c r="J73" s="82">
        <v>1</v>
      </c>
      <c r="K73" s="82"/>
      <c r="L73" s="74"/>
      <c r="M73" s="74"/>
      <c r="N73" s="74"/>
      <c r="O73" s="74"/>
      <c r="P73" s="74"/>
      <c r="Q73" s="74"/>
    </row>
    <row r="74" spans="1:19" hidden="1" x14ac:dyDescent="0.25">
      <c r="A74" s="77" t="s">
        <v>626</v>
      </c>
      <c r="B74" s="77" t="s">
        <v>290</v>
      </c>
      <c r="C74" s="77" t="s">
        <v>547</v>
      </c>
      <c r="D74" s="77" t="s">
        <v>1658</v>
      </c>
      <c r="E74" s="77" t="s">
        <v>90</v>
      </c>
      <c r="F74" s="77" t="s">
        <v>292</v>
      </c>
      <c r="G74" s="77" t="s">
        <v>16</v>
      </c>
      <c r="H74" s="77" t="s">
        <v>559</v>
      </c>
      <c r="I74" s="82" t="s">
        <v>18</v>
      </c>
      <c r="J74" s="82">
        <v>3</v>
      </c>
      <c r="K74" s="82"/>
      <c r="L74" s="74"/>
      <c r="M74" s="74"/>
      <c r="N74" s="74"/>
      <c r="O74" s="74"/>
      <c r="P74" s="74"/>
      <c r="Q74" s="74"/>
    </row>
    <row r="75" spans="1:19" hidden="1" x14ac:dyDescent="0.25">
      <c r="A75" s="77" t="s">
        <v>627</v>
      </c>
      <c r="B75" s="77" t="s">
        <v>290</v>
      </c>
      <c r="C75" s="77" t="s">
        <v>547</v>
      </c>
      <c r="D75" s="77" t="s">
        <v>1659</v>
      </c>
      <c r="E75" s="77" t="s">
        <v>90</v>
      </c>
      <c r="F75" s="77" t="s">
        <v>292</v>
      </c>
      <c r="G75" s="77" t="s">
        <v>16</v>
      </c>
      <c r="H75" s="77" t="s">
        <v>559</v>
      </c>
      <c r="I75" s="82" t="s">
        <v>18</v>
      </c>
      <c r="J75" s="82">
        <v>3</v>
      </c>
      <c r="K75" s="82"/>
      <c r="L75" s="74"/>
      <c r="M75" s="74"/>
      <c r="N75" s="74"/>
      <c r="O75" s="74"/>
      <c r="P75" s="74"/>
      <c r="Q75" s="74"/>
    </row>
    <row r="76" spans="1:19" hidden="1" x14ac:dyDescent="0.25">
      <c r="A76" s="77" t="s">
        <v>629</v>
      </c>
      <c r="B76" s="77" t="s">
        <v>290</v>
      </c>
      <c r="C76" s="77" t="s">
        <v>547</v>
      </c>
      <c r="D76" s="77" t="s">
        <v>1660</v>
      </c>
      <c r="E76" s="77" t="s">
        <v>90</v>
      </c>
      <c r="F76" s="77" t="s">
        <v>292</v>
      </c>
      <c r="G76" s="77" t="s">
        <v>16</v>
      </c>
      <c r="H76" s="77" t="s">
        <v>559</v>
      </c>
      <c r="I76" s="82" t="s">
        <v>18</v>
      </c>
      <c r="J76" s="82">
        <v>3</v>
      </c>
      <c r="K76" s="82"/>
      <c r="L76" s="74"/>
      <c r="M76" s="74"/>
      <c r="N76" s="74"/>
      <c r="O76" s="74"/>
      <c r="P76" s="74"/>
      <c r="Q76" s="74"/>
    </row>
    <row r="77" spans="1:19" x14ac:dyDescent="0.25">
      <c r="A77" s="77" t="s">
        <v>661</v>
      </c>
      <c r="B77" s="77" t="s">
        <v>11</v>
      </c>
      <c r="C77" s="77" t="s">
        <v>12</v>
      </c>
      <c r="D77" s="77" t="s">
        <v>1704</v>
      </c>
      <c r="E77" s="77" t="s">
        <v>90</v>
      </c>
      <c r="F77" s="77" t="s">
        <v>15</v>
      </c>
      <c r="G77" s="77" t="s">
        <v>16</v>
      </c>
      <c r="H77" s="77" t="s">
        <v>559</v>
      </c>
      <c r="I77" s="82" t="s">
        <v>18</v>
      </c>
      <c r="J77" s="82">
        <v>3</v>
      </c>
      <c r="K77" s="82"/>
      <c r="L77" s="74">
        <v>5000000</v>
      </c>
      <c r="M77" s="74">
        <v>3500000</v>
      </c>
      <c r="N77" s="74">
        <v>3500000</v>
      </c>
      <c r="O77" s="74">
        <v>4000000</v>
      </c>
      <c r="P77" s="74">
        <v>4300000</v>
      </c>
      <c r="Q77" s="74">
        <v>4600000</v>
      </c>
      <c r="R77" s="90"/>
    </row>
    <row r="78" spans="1:19" hidden="1" x14ac:dyDescent="0.25">
      <c r="A78" s="77" t="s">
        <v>624</v>
      </c>
      <c r="B78" s="77" t="s">
        <v>11</v>
      </c>
      <c r="C78" s="77" t="s">
        <v>347</v>
      </c>
      <c r="D78" s="77" t="s">
        <v>565</v>
      </c>
      <c r="E78" s="77" t="s">
        <v>90</v>
      </c>
      <c r="F78" s="77" t="s">
        <v>37</v>
      </c>
      <c r="G78" s="77" t="s">
        <v>16</v>
      </c>
      <c r="H78" s="77" t="s">
        <v>559</v>
      </c>
      <c r="I78" s="82" t="s">
        <v>38</v>
      </c>
      <c r="J78" s="82">
        <v>1</v>
      </c>
      <c r="K78" s="82"/>
      <c r="L78" s="75"/>
      <c r="M78" s="75"/>
      <c r="N78" s="75"/>
      <c r="O78" s="75"/>
      <c r="P78" s="75"/>
      <c r="Q78" s="75"/>
    </row>
    <row r="79" spans="1:19" x14ac:dyDescent="0.25">
      <c r="A79" s="77" t="s">
        <v>665</v>
      </c>
      <c r="B79" s="77" t="s">
        <v>11</v>
      </c>
      <c r="C79" s="77" t="s">
        <v>12</v>
      </c>
      <c r="D79" s="77" t="s">
        <v>20</v>
      </c>
      <c r="E79" s="77" t="s">
        <v>90</v>
      </c>
      <c r="F79" s="77" t="s">
        <v>15</v>
      </c>
      <c r="G79" s="77" t="s">
        <v>16</v>
      </c>
      <c r="H79" s="77" t="s">
        <v>559</v>
      </c>
      <c r="I79" s="82" t="s">
        <v>18</v>
      </c>
      <c r="J79" s="82">
        <v>3</v>
      </c>
      <c r="K79" s="82"/>
      <c r="L79" s="74">
        <v>3000</v>
      </c>
      <c r="M79" s="74">
        <v>3000</v>
      </c>
      <c r="N79" s="74">
        <v>3000</v>
      </c>
      <c r="O79" s="74">
        <v>3000</v>
      </c>
      <c r="P79" s="74">
        <v>3100</v>
      </c>
      <c r="Q79" s="74">
        <v>3200</v>
      </c>
    </row>
    <row r="80" spans="1:19" x14ac:dyDescent="0.25">
      <c r="A80" s="77" t="s">
        <v>666</v>
      </c>
      <c r="B80" s="77" t="s">
        <v>11</v>
      </c>
      <c r="C80" s="77" t="s">
        <v>12</v>
      </c>
      <c r="D80" s="77" t="s">
        <v>24</v>
      </c>
      <c r="E80" s="77" t="s">
        <v>90</v>
      </c>
      <c r="F80" s="77" t="s">
        <v>15</v>
      </c>
      <c r="G80" s="77" t="s">
        <v>16</v>
      </c>
      <c r="H80" s="77" t="s">
        <v>559</v>
      </c>
      <c r="I80" s="82" t="s">
        <v>18</v>
      </c>
      <c r="J80" s="82">
        <v>3</v>
      </c>
      <c r="K80" s="82"/>
      <c r="L80" s="74">
        <v>2000</v>
      </c>
      <c r="M80" s="74">
        <v>2000</v>
      </c>
      <c r="N80" s="74">
        <v>2000</v>
      </c>
      <c r="O80" s="74">
        <v>2000</v>
      </c>
      <c r="P80" s="74">
        <v>2100</v>
      </c>
      <c r="Q80" s="74">
        <v>2200</v>
      </c>
    </row>
    <row r="81" spans="1:17" x14ac:dyDescent="0.25">
      <c r="A81" s="77" t="s">
        <v>664</v>
      </c>
      <c r="B81" s="77" t="s">
        <v>11</v>
      </c>
      <c r="C81" s="77" t="s">
        <v>12</v>
      </c>
      <c r="D81" s="77" t="s">
        <v>28</v>
      </c>
      <c r="E81" s="77" t="s">
        <v>90</v>
      </c>
      <c r="F81" s="77" t="s">
        <v>15</v>
      </c>
      <c r="G81" s="77" t="s">
        <v>16</v>
      </c>
      <c r="H81" s="77" t="s">
        <v>559</v>
      </c>
      <c r="I81" s="82" t="s">
        <v>18</v>
      </c>
      <c r="J81" s="82">
        <v>3</v>
      </c>
      <c r="K81" s="82"/>
      <c r="L81" s="74">
        <v>40000</v>
      </c>
      <c r="M81" s="74">
        <v>40000</v>
      </c>
      <c r="N81" s="74">
        <v>40000</v>
      </c>
      <c r="O81" s="74">
        <v>40000</v>
      </c>
      <c r="P81" s="74">
        <v>41000</v>
      </c>
      <c r="Q81" s="74">
        <v>42000</v>
      </c>
    </row>
    <row r="82" spans="1:17" hidden="1" x14ac:dyDescent="0.25">
      <c r="A82" s="77" t="s">
        <v>1196</v>
      </c>
      <c r="B82" s="77" t="s">
        <v>28</v>
      </c>
      <c r="C82" s="77" t="s">
        <v>203</v>
      </c>
      <c r="D82" s="77" t="s">
        <v>28</v>
      </c>
      <c r="E82" s="77" t="s">
        <v>37</v>
      </c>
      <c r="F82" s="77" t="s">
        <v>16</v>
      </c>
      <c r="G82" s="77" t="s">
        <v>559</v>
      </c>
      <c r="H82" s="77"/>
      <c r="I82" s="82"/>
      <c r="J82" s="82"/>
      <c r="K82" s="82"/>
      <c r="L82" s="74"/>
      <c r="M82" s="74"/>
      <c r="N82" s="74"/>
      <c r="O82" s="74"/>
      <c r="P82" s="74"/>
      <c r="Q82" s="74"/>
    </row>
    <row r="83" spans="1:17" x14ac:dyDescent="0.25">
      <c r="A83" s="77" t="s">
        <v>566</v>
      </c>
      <c r="B83" s="77" t="s">
        <v>11</v>
      </c>
      <c r="C83" s="77" t="s">
        <v>12</v>
      </c>
      <c r="D83" s="133" t="s">
        <v>13</v>
      </c>
      <c r="E83" s="77" t="s">
        <v>90</v>
      </c>
      <c r="F83" s="77" t="s">
        <v>37</v>
      </c>
      <c r="G83" s="77" t="s">
        <v>16</v>
      </c>
      <c r="H83" s="77" t="s">
        <v>559</v>
      </c>
      <c r="I83" s="82" t="s">
        <v>38</v>
      </c>
      <c r="J83" s="82">
        <v>1</v>
      </c>
      <c r="K83" s="82"/>
      <c r="L83" s="74">
        <v>15000</v>
      </c>
      <c r="M83" s="74">
        <v>15000</v>
      </c>
      <c r="N83" s="74">
        <v>15000</v>
      </c>
      <c r="O83" s="74">
        <v>15000</v>
      </c>
      <c r="P83" s="74">
        <v>15500</v>
      </c>
      <c r="Q83" s="74">
        <v>16000</v>
      </c>
    </row>
    <row r="84" spans="1:17" x14ac:dyDescent="0.25">
      <c r="A84" s="77" t="s">
        <v>621</v>
      </c>
      <c r="B84" s="77" t="s">
        <v>11</v>
      </c>
      <c r="C84" s="77" t="s">
        <v>228</v>
      </c>
      <c r="D84" s="77" t="s">
        <v>13</v>
      </c>
      <c r="E84" s="77" t="s">
        <v>90</v>
      </c>
      <c r="F84" s="77" t="s">
        <v>15</v>
      </c>
      <c r="G84" s="77" t="s">
        <v>16</v>
      </c>
      <c r="H84" s="77" t="s">
        <v>559</v>
      </c>
      <c r="I84" s="82" t="s">
        <v>18</v>
      </c>
      <c r="J84" s="82">
        <v>3</v>
      </c>
      <c r="K84" s="82"/>
      <c r="L84" s="74">
        <v>15000</v>
      </c>
      <c r="M84" s="74">
        <v>15000</v>
      </c>
      <c r="N84" s="74">
        <v>15000</v>
      </c>
      <c r="O84" s="74">
        <v>15000</v>
      </c>
      <c r="P84" s="74">
        <v>15500</v>
      </c>
      <c r="Q84" s="74">
        <v>16000</v>
      </c>
    </row>
    <row r="85" spans="1:17" x14ac:dyDescent="0.25">
      <c r="A85" s="77" t="s">
        <v>567</v>
      </c>
      <c r="B85" s="77" t="s">
        <v>11</v>
      </c>
      <c r="C85" s="77" t="s">
        <v>12</v>
      </c>
      <c r="D85" s="77" t="s">
        <v>147</v>
      </c>
      <c r="E85" s="77" t="s">
        <v>90</v>
      </c>
      <c r="F85" s="77" t="s">
        <v>37</v>
      </c>
      <c r="G85" s="77" t="s">
        <v>16</v>
      </c>
      <c r="H85" s="77" t="s">
        <v>559</v>
      </c>
      <c r="I85" s="82" t="s">
        <v>38</v>
      </c>
      <c r="J85" s="82">
        <v>1</v>
      </c>
      <c r="K85" s="82"/>
      <c r="L85" s="74">
        <v>10000</v>
      </c>
      <c r="M85" s="74">
        <v>10000</v>
      </c>
      <c r="N85" s="74">
        <v>10000</v>
      </c>
      <c r="O85" s="74">
        <v>10000</v>
      </c>
      <c r="P85" s="74">
        <v>11000</v>
      </c>
      <c r="Q85" s="74">
        <v>12000</v>
      </c>
    </row>
    <row r="86" spans="1:17" hidden="1" x14ac:dyDescent="0.25">
      <c r="A86" s="77" t="s">
        <v>622</v>
      </c>
      <c r="B86" s="77" t="s">
        <v>11</v>
      </c>
      <c r="C86" s="77" t="s">
        <v>228</v>
      </c>
      <c r="D86" s="77" t="s">
        <v>22</v>
      </c>
      <c r="E86" s="77" t="s">
        <v>90</v>
      </c>
      <c r="F86" s="77" t="s">
        <v>15</v>
      </c>
      <c r="G86" s="77" t="s">
        <v>16</v>
      </c>
      <c r="H86" s="77" t="s">
        <v>559</v>
      </c>
      <c r="I86" s="82" t="s">
        <v>18</v>
      </c>
      <c r="J86" s="82">
        <v>3</v>
      </c>
      <c r="K86" s="82"/>
      <c r="L86" s="74">
        <v>0</v>
      </c>
      <c r="M86" s="74"/>
      <c r="N86" s="74"/>
      <c r="O86" s="74"/>
      <c r="P86" s="74"/>
      <c r="Q86" s="74"/>
    </row>
    <row r="87" spans="1:17" x14ac:dyDescent="0.25">
      <c r="A87" s="77" t="s">
        <v>663</v>
      </c>
      <c r="B87" s="77" t="s">
        <v>11</v>
      </c>
      <c r="C87" s="77" t="s">
        <v>12</v>
      </c>
      <c r="D87" s="77" t="s">
        <v>26</v>
      </c>
      <c r="E87" s="77" t="s">
        <v>90</v>
      </c>
      <c r="F87" s="77" t="s">
        <v>15</v>
      </c>
      <c r="G87" s="77" t="s">
        <v>16</v>
      </c>
      <c r="H87" s="77" t="s">
        <v>559</v>
      </c>
      <c r="I87" s="82" t="s">
        <v>18</v>
      </c>
      <c r="J87" s="82">
        <v>3</v>
      </c>
      <c r="K87" s="82"/>
      <c r="L87" s="74">
        <v>0</v>
      </c>
      <c r="M87" s="74">
        <v>0</v>
      </c>
      <c r="N87" s="74">
        <v>0</v>
      </c>
      <c r="O87" s="74">
        <v>2000</v>
      </c>
      <c r="P87" s="74">
        <v>2100</v>
      </c>
      <c r="Q87" s="74">
        <v>2200</v>
      </c>
    </row>
    <row r="88" spans="1:17" hidden="1" x14ac:dyDescent="0.25">
      <c r="A88" s="77" t="s">
        <v>619</v>
      </c>
      <c r="B88" s="77" t="s">
        <v>11</v>
      </c>
      <c r="C88" s="77" t="s">
        <v>203</v>
      </c>
      <c r="D88" s="77" t="s">
        <v>26</v>
      </c>
      <c r="E88" s="77" t="s">
        <v>90</v>
      </c>
      <c r="F88" s="77" t="s">
        <v>37</v>
      </c>
      <c r="G88" s="77" t="s">
        <v>16</v>
      </c>
      <c r="H88" s="77" t="s">
        <v>559</v>
      </c>
      <c r="I88" s="82" t="s">
        <v>38</v>
      </c>
      <c r="J88" s="82">
        <v>1</v>
      </c>
      <c r="K88" s="82"/>
      <c r="L88" s="74">
        <v>0</v>
      </c>
      <c r="M88" s="74">
        <v>0</v>
      </c>
      <c r="N88" s="74">
        <v>0</v>
      </c>
      <c r="O88" s="74"/>
      <c r="P88" s="74">
        <v>2100</v>
      </c>
      <c r="Q88" s="74">
        <v>2200</v>
      </c>
    </row>
    <row r="89" spans="1:17" x14ac:dyDescent="0.25">
      <c r="A89" s="77" t="s">
        <v>662</v>
      </c>
      <c r="B89" s="77" t="s">
        <v>11</v>
      </c>
      <c r="C89" s="77" t="s">
        <v>12</v>
      </c>
      <c r="D89" s="77" t="s">
        <v>32</v>
      </c>
      <c r="E89" s="77" t="s">
        <v>90</v>
      </c>
      <c r="F89" s="77" t="s">
        <v>15</v>
      </c>
      <c r="G89" s="77" t="s">
        <v>16</v>
      </c>
      <c r="H89" s="77" t="s">
        <v>559</v>
      </c>
      <c r="I89" s="82" t="s">
        <v>18</v>
      </c>
      <c r="J89" s="82">
        <v>3</v>
      </c>
      <c r="K89" s="82"/>
      <c r="L89" s="74">
        <v>0</v>
      </c>
      <c r="M89" s="74">
        <v>0</v>
      </c>
      <c r="N89" s="74">
        <v>0</v>
      </c>
      <c r="O89" s="74">
        <v>2000</v>
      </c>
      <c r="P89" s="74">
        <v>2100</v>
      </c>
      <c r="Q89" s="74">
        <v>2200</v>
      </c>
    </row>
    <row r="90" spans="1:17" hidden="1" x14ac:dyDescent="0.25">
      <c r="A90" s="77" t="s">
        <v>620</v>
      </c>
      <c r="B90" s="77" t="s">
        <v>11</v>
      </c>
      <c r="C90" s="77" t="s">
        <v>203</v>
      </c>
      <c r="D90" s="77" t="s">
        <v>32</v>
      </c>
      <c r="E90" s="77" t="s">
        <v>90</v>
      </c>
      <c r="F90" s="77" t="s">
        <v>37</v>
      </c>
      <c r="G90" s="77" t="s">
        <v>16</v>
      </c>
      <c r="H90" s="77" t="s">
        <v>559</v>
      </c>
      <c r="I90" s="82" t="s">
        <v>38</v>
      </c>
      <c r="J90" s="82">
        <v>1</v>
      </c>
      <c r="K90" s="82"/>
    </row>
    <row r="91" spans="1:17" hidden="1" x14ac:dyDescent="0.25">
      <c r="A91" s="77" t="s">
        <v>646</v>
      </c>
      <c r="B91" s="77" t="s">
        <v>11</v>
      </c>
      <c r="C91" s="77" t="s">
        <v>12</v>
      </c>
      <c r="D91" s="77" t="s">
        <v>647</v>
      </c>
      <c r="E91" s="77" t="s">
        <v>90</v>
      </c>
      <c r="F91" s="77" t="s">
        <v>295</v>
      </c>
      <c r="G91" s="77" t="s">
        <v>16</v>
      </c>
      <c r="H91" s="77" t="s">
        <v>559</v>
      </c>
      <c r="I91" s="82" t="s">
        <v>38</v>
      </c>
      <c r="J91" s="82">
        <v>1</v>
      </c>
      <c r="K91" s="82"/>
    </row>
    <row r="92" spans="1:17" hidden="1" x14ac:dyDescent="0.25">
      <c r="A92" s="77" t="s">
        <v>564</v>
      </c>
      <c r="B92" s="77" t="s">
        <v>11</v>
      </c>
      <c r="C92" s="77" t="s">
        <v>12</v>
      </c>
      <c r="D92" s="77" t="s">
        <v>238</v>
      </c>
      <c r="E92" s="77" t="s">
        <v>90</v>
      </c>
      <c r="F92" s="77" t="s">
        <v>37</v>
      </c>
      <c r="G92" s="77" t="s">
        <v>16</v>
      </c>
      <c r="H92" s="77" t="s">
        <v>559</v>
      </c>
      <c r="I92" s="82" t="s">
        <v>38</v>
      </c>
      <c r="J92" s="82">
        <v>1</v>
      </c>
      <c r="K92" s="82"/>
    </row>
    <row r="93" spans="1:17" hidden="1" x14ac:dyDescent="0.25">
      <c r="A93" s="77" t="s">
        <v>641</v>
      </c>
      <c r="B93" s="77" t="s">
        <v>11</v>
      </c>
      <c r="C93" s="77" t="s">
        <v>639</v>
      </c>
      <c r="D93" s="77" t="s">
        <v>238</v>
      </c>
      <c r="E93" s="77" t="s">
        <v>90</v>
      </c>
      <c r="F93" s="77" t="s">
        <v>37</v>
      </c>
      <c r="G93" s="77" t="s">
        <v>16</v>
      </c>
      <c r="H93" s="77" t="s">
        <v>559</v>
      </c>
      <c r="I93" s="82" t="s">
        <v>38</v>
      </c>
      <c r="J93" s="82">
        <v>1</v>
      </c>
      <c r="K93" s="82"/>
    </row>
    <row r="94" spans="1:17" hidden="1" x14ac:dyDescent="0.25">
      <c r="A94" s="77" t="s">
        <v>623</v>
      </c>
      <c r="B94" s="77" t="s">
        <v>11</v>
      </c>
      <c r="C94" s="77" t="s">
        <v>347</v>
      </c>
      <c r="D94" s="77" t="s">
        <v>238</v>
      </c>
      <c r="E94" s="77" t="s">
        <v>90</v>
      </c>
      <c r="F94" s="77" t="s">
        <v>37</v>
      </c>
      <c r="G94" s="77" t="s">
        <v>16</v>
      </c>
      <c r="H94" s="77" t="s">
        <v>559</v>
      </c>
      <c r="I94" s="82" t="s">
        <v>38</v>
      </c>
      <c r="J94" s="82">
        <v>1</v>
      </c>
      <c r="K94" s="82"/>
    </row>
    <row r="95" spans="1:17" hidden="1" x14ac:dyDescent="0.25">
      <c r="A95" s="77" t="s">
        <v>630</v>
      </c>
      <c r="B95" s="77" t="s">
        <v>631</v>
      </c>
      <c r="C95" s="77" t="s">
        <v>347</v>
      </c>
      <c r="D95" s="77" t="s">
        <v>569</v>
      </c>
      <c r="E95" s="77" t="s">
        <v>90</v>
      </c>
      <c r="F95" s="77" t="s">
        <v>295</v>
      </c>
      <c r="G95" s="77" t="s">
        <v>16</v>
      </c>
      <c r="H95" s="77" t="s">
        <v>559</v>
      </c>
      <c r="I95" s="82" t="s">
        <v>38</v>
      </c>
      <c r="J95" s="82">
        <v>1</v>
      </c>
      <c r="K95" s="82"/>
    </row>
    <row r="96" spans="1:17" ht="15.75" thickBot="1" x14ac:dyDescent="0.3">
      <c r="A96" s="100" t="s">
        <v>1203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1">
        <f t="shared" ref="L96" si="4">SUM(L56:L95)</f>
        <v>46633128.902832001</v>
      </c>
      <c r="M96" s="101">
        <f>SUM(M56:M95)</f>
        <v>39471422.458352</v>
      </c>
      <c r="N96" s="101">
        <f>SUM(N56:N95)</f>
        <v>39471422.458352</v>
      </c>
      <c r="O96" s="101">
        <f>SUM(O56:O95)</f>
        <v>43143786.164433599</v>
      </c>
      <c r="P96" s="101">
        <f>SUM(P56:P95)</f>
        <v>44897736.755668677</v>
      </c>
      <c r="Q96" s="101">
        <f>SUM(Q56:Q95)</f>
        <v>46679382.409673765</v>
      </c>
    </row>
    <row r="97" spans="1:11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</row>
    <row r="98" spans="1:11" x14ac:dyDescent="0.2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</row>
  </sheetData>
  <autoFilter ref="A1:T101" xr:uid="{00000000-0009-0000-0000-000013000000}"/>
  <sortState xmlns:xlrd2="http://schemas.microsoft.com/office/spreadsheetml/2017/richdata2" ref="A2:Z93">
    <sortCondition ref="A2:A93"/>
  </sortState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S35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2" width="18.375" style="35" hidden="1" customWidth="1"/>
    <col min="3" max="3" width="21.375" style="35" hidden="1" customWidth="1"/>
    <col min="4" max="4" width="28" style="35" bestFit="1" customWidth="1"/>
    <col min="5" max="5" width="12.375" style="35" hidden="1" customWidth="1"/>
    <col min="6" max="11" width="9.125" style="35" hidden="1" customWidth="1"/>
    <col min="12" max="12" width="13.375" style="37" bestFit="1" customWidth="1"/>
    <col min="13" max="13" width="14.25" style="35" customWidth="1"/>
    <col min="14" max="17" width="14.25" style="171" customWidth="1"/>
    <col min="18" max="18" width="10.125" style="35" bestFit="1" customWidth="1"/>
    <col min="19" max="19" width="12.625" style="37" bestFit="1" customWidth="1"/>
    <col min="20" max="16384" width="9.125" style="35"/>
  </cols>
  <sheetData>
    <row r="1" spans="1:19" ht="15.75" x14ac:dyDescent="0.25">
      <c r="A1" s="46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46" t="s">
        <v>667</v>
      </c>
      <c r="B3" s="72"/>
      <c r="C3" s="72"/>
      <c r="D3" s="72"/>
    </row>
    <row r="4" spans="1:19" s="92" customFormat="1" ht="62.25" customHeight="1" x14ac:dyDescent="0.25">
      <c r="A4" s="35" t="s">
        <v>1202</v>
      </c>
      <c r="B4" s="92" t="s">
        <v>0</v>
      </c>
      <c r="C4" s="92" t="s">
        <v>1</v>
      </c>
      <c r="D4" s="92" t="s">
        <v>2</v>
      </c>
      <c r="E4" s="92" t="s">
        <v>3</v>
      </c>
      <c r="F4" s="92" t="s">
        <v>4</v>
      </c>
      <c r="G4" s="92" t="s">
        <v>5</v>
      </c>
      <c r="H4" s="92" t="s">
        <v>6</v>
      </c>
      <c r="I4" s="92" t="s">
        <v>7</v>
      </c>
      <c r="J4" s="92" t="s">
        <v>8</v>
      </c>
      <c r="K4" s="92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  <c r="S4" s="48"/>
    </row>
    <row r="5" spans="1:19" x14ac:dyDescent="0.25">
      <c r="A5" s="31" t="s">
        <v>688</v>
      </c>
      <c r="B5" s="31" t="s">
        <v>11</v>
      </c>
      <c r="C5" s="31" t="s">
        <v>12</v>
      </c>
      <c r="D5" s="31" t="s">
        <v>157</v>
      </c>
      <c r="E5" s="31" t="s">
        <v>90</v>
      </c>
      <c r="F5" s="31" t="s">
        <v>15</v>
      </c>
      <c r="G5" s="31" t="s">
        <v>16</v>
      </c>
      <c r="H5" s="31" t="s">
        <v>667</v>
      </c>
      <c r="I5" s="32" t="s">
        <v>18</v>
      </c>
      <c r="J5" s="32">
        <v>3</v>
      </c>
      <c r="K5" s="32"/>
      <c r="L5" s="34">
        <v>1868106.7826399999</v>
      </c>
      <c r="M5" s="34">
        <v>1592230.34</v>
      </c>
      <c r="N5" s="34">
        <v>1592230.34</v>
      </c>
      <c r="O5" s="34">
        <f>S5</f>
        <v>1959219.98544</v>
      </c>
      <c r="P5" s="34">
        <f>O5*1.044</f>
        <v>2045425.6647993601</v>
      </c>
      <c r="Q5" s="34">
        <f>P5*1.045</f>
        <v>2137469.8197153313</v>
      </c>
      <c r="S5" s="145">
        <f>'[1]6117EXP'!$E$8</f>
        <v>1959219.98544</v>
      </c>
    </row>
    <row r="6" spans="1:19" hidden="1" x14ac:dyDescent="0.25">
      <c r="A6" s="31" t="s">
        <v>1197</v>
      </c>
      <c r="B6" s="31" t="s">
        <v>86</v>
      </c>
      <c r="C6" s="31" t="s">
        <v>12</v>
      </c>
      <c r="D6" s="31" t="s">
        <v>1636</v>
      </c>
      <c r="E6" s="31" t="s">
        <v>37</v>
      </c>
      <c r="F6" s="31" t="s">
        <v>16</v>
      </c>
      <c r="G6" s="31" t="s">
        <v>667</v>
      </c>
      <c r="L6" s="34"/>
      <c r="M6" s="34">
        <v>0</v>
      </c>
      <c r="N6" s="34">
        <v>0</v>
      </c>
      <c r="O6" s="34">
        <f t="shared" ref="O6:O18" si="0">S6</f>
        <v>0</v>
      </c>
      <c r="P6" s="34">
        <f t="shared" ref="P6:P7" si="1">O6*1.044</f>
        <v>0</v>
      </c>
      <c r="Q6" s="34">
        <f t="shared" ref="Q6:Q7" si="2">P6*1.045</f>
        <v>0</v>
      </c>
      <c r="S6" s="145"/>
    </row>
    <row r="7" spans="1:19" x14ac:dyDescent="0.25">
      <c r="A7" s="31" t="s">
        <v>685</v>
      </c>
      <c r="B7" s="31" t="s">
        <v>11</v>
      </c>
      <c r="C7" s="31" t="s">
        <v>12</v>
      </c>
      <c r="D7" s="31" t="s">
        <v>1630</v>
      </c>
      <c r="E7" s="31" t="s">
        <v>90</v>
      </c>
      <c r="F7" s="31" t="s">
        <v>15</v>
      </c>
      <c r="G7" s="31" t="s">
        <v>16</v>
      </c>
      <c r="H7" s="31" t="s">
        <v>667</v>
      </c>
      <c r="I7" s="32" t="s">
        <v>18</v>
      </c>
      <c r="J7" s="32">
        <v>3</v>
      </c>
      <c r="K7" s="32"/>
      <c r="L7" s="34">
        <v>45000</v>
      </c>
      <c r="M7" s="34">
        <v>15000</v>
      </c>
      <c r="N7" s="34">
        <v>15000</v>
      </c>
      <c r="O7" s="34">
        <v>20000</v>
      </c>
      <c r="P7" s="34">
        <f t="shared" si="1"/>
        <v>20880</v>
      </c>
      <c r="Q7" s="34">
        <f t="shared" si="2"/>
        <v>21819.599999999999</v>
      </c>
      <c r="S7" s="145"/>
    </row>
    <row r="8" spans="1:19" x14ac:dyDescent="0.25">
      <c r="A8" s="31" t="s">
        <v>686</v>
      </c>
      <c r="B8" s="31" t="s">
        <v>11</v>
      </c>
      <c r="C8" s="31" t="s">
        <v>12</v>
      </c>
      <c r="D8" s="31" t="s">
        <v>153</v>
      </c>
      <c r="E8" s="31" t="s">
        <v>90</v>
      </c>
      <c r="F8" s="31" t="s">
        <v>15</v>
      </c>
      <c r="G8" s="31" t="s">
        <v>16</v>
      </c>
      <c r="H8" s="31" t="s">
        <v>667</v>
      </c>
      <c r="I8" s="32" t="s">
        <v>18</v>
      </c>
      <c r="J8" s="32">
        <v>3</v>
      </c>
      <c r="K8" s="32"/>
      <c r="L8" s="34">
        <v>155675.56521999999</v>
      </c>
      <c r="M8" s="34">
        <v>152052.64000000001</v>
      </c>
      <c r="N8" s="34">
        <v>152052.64000000001</v>
      </c>
      <c r="O8" s="34">
        <f t="shared" si="0"/>
        <v>163268.33211999998</v>
      </c>
      <c r="P8" s="34">
        <f t="shared" ref="P8:P18" si="3">O8*1.044</f>
        <v>170452.13873327998</v>
      </c>
      <c r="Q8" s="34">
        <f t="shared" ref="Q8:Q18" si="4">P8*1.045</f>
        <v>178122.48497627757</v>
      </c>
      <c r="S8" s="145">
        <f>'[1]6117EXP'!$I$8</f>
        <v>163268.33211999998</v>
      </c>
    </row>
    <row r="9" spans="1:19" x14ac:dyDescent="0.25">
      <c r="A9" s="31" t="s">
        <v>683</v>
      </c>
      <c r="B9" s="31" t="s">
        <v>11</v>
      </c>
      <c r="C9" s="31" t="s">
        <v>12</v>
      </c>
      <c r="D9" s="31" t="s">
        <v>41</v>
      </c>
      <c r="E9" s="31" t="s">
        <v>90</v>
      </c>
      <c r="F9" s="31" t="s">
        <v>15</v>
      </c>
      <c r="G9" s="31" t="s">
        <v>16</v>
      </c>
      <c r="H9" s="31" t="s">
        <v>667</v>
      </c>
      <c r="I9" s="32" t="s">
        <v>18</v>
      </c>
      <c r="J9" s="32">
        <v>3</v>
      </c>
      <c r="K9" s="32"/>
      <c r="L9" s="34">
        <v>410983.49218080001</v>
      </c>
      <c r="M9" s="34">
        <v>326822.95679999999</v>
      </c>
      <c r="N9" s="34">
        <v>326822.95679999999</v>
      </c>
      <c r="O9" s="34">
        <f t="shared" si="0"/>
        <v>431028.39679679996</v>
      </c>
      <c r="P9" s="34">
        <f t="shared" si="3"/>
        <v>449993.64625585917</v>
      </c>
      <c r="Q9" s="34">
        <f t="shared" si="4"/>
        <v>470243.36033737281</v>
      </c>
      <c r="S9" s="145">
        <f>'[1]6117EXP'!$K$8</f>
        <v>431028.39679679996</v>
      </c>
    </row>
    <row r="10" spans="1:19" x14ac:dyDescent="0.25">
      <c r="A10" s="31" t="s">
        <v>682</v>
      </c>
      <c r="B10" s="31" t="s">
        <v>11</v>
      </c>
      <c r="C10" s="31" t="s">
        <v>12</v>
      </c>
      <c r="D10" s="31" t="s">
        <v>36</v>
      </c>
      <c r="E10" s="31" t="s">
        <v>90</v>
      </c>
      <c r="F10" s="31" t="s">
        <v>15</v>
      </c>
      <c r="G10" s="31" t="s">
        <v>16</v>
      </c>
      <c r="H10" s="31" t="s">
        <v>667</v>
      </c>
      <c r="I10" s="32" t="s">
        <v>18</v>
      </c>
      <c r="J10" s="32">
        <v>3</v>
      </c>
      <c r="K10" s="32"/>
      <c r="L10" s="34">
        <v>128024.64</v>
      </c>
      <c r="M10" s="34">
        <v>141291.72</v>
      </c>
      <c r="N10" s="34">
        <v>141291.72</v>
      </c>
      <c r="O10" s="34">
        <f t="shared" si="0"/>
        <v>148920.48000000001</v>
      </c>
      <c r="P10" s="34">
        <f t="shared" si="3"/>
        <v>155472.98112000001</v>
      </c>
      <c r="Q10" s="34">
        <f t="shared" si="4"/>
        <v>162469.26527040001</v>
      </c>
      <c r="S10" s="145">
        <f>'[1]6117EXP'!$L$8</f>
        <v>148920.48000000001</v>
      </c>
    </row>
    <row r="11" spans="1:19" x14ac:dyDescent="0.25">
      <c r="A11" s="31" t="s">
        <v>687</v>
      </c>
      <c r="B11" s="31" t="s">
        <v>11</v>
      </c>
      <c r="C11" s="31" t="s">
        <v>12</v>
      </c>
      <c r="D11" s="31" t="s">
        <v>47</v>
      </c>
      <c r="E11" s="31" t="s">
        <v>90</v>
      </c>
      <c r="F11" s="31" t="s">
        <v>15</v>
      </c>
      <c r="G11" s="31" t="s">
        <v>16</v>
      </c>
      <c r="H11" s="31" t="s">
        <v>667</v>
      </c>
      <c r="I11" s="32" t="s">
        <v>18</v>
      </c>
      <c r="J11" s="32">
        <v>3</v>
      </c>
      <c r="K11" s="32"/>
      <c r="L11" s="34">
        <v>391187.88</v>
      </c>
      <c r="M11" s="34">
        <v>402624.13</v>
      </c>
      <c r="N11" s="34">
        <v>402624.13</v>
      </c>
      <c r="O11" s="34">
        <f t="shared" si="0"/>
        <v>424722.39287999994</v>
      </c>
      <c r="P11" s="34">
        <f t="shared" si="3"/>
        <v>443410.17816671997</v>
      </c>
      <c r="Q11" s="34">
        <f t="shared" si="4"/>
        <v>463363.63618422236</v>
      </c>
      <c r="S11" s="145">
        <f>'[1]6117EXP'!$M$8</f>
        <v>424722.39287999994</v>
      </c>
    </row>
    <row r="12" spans="1:19" x14ac:dyDescent="0.25">
      <c r="A12" s="31" t="s">
        <v>679</v>
      </c>
      <c r="B12" s="31" t="s">
        <v>11</v>
      </c>
      <c r="C12" s="31" t="s">
        <v>12</v>
      </c>
      <c r="D12" s="31" t="s">
        <v>45</v>
      </c>
      <c r="E12" s="31" t="s">
        <v>90</v>
      </c>
      <c r="F12" s="31" t="s">
        <v>37</v>
      </c>
      <c r="G12" s="31" t="s">
        <v>16</v>
      </c>
      <c r="H12" s="31" t="s">
        <v>667</v>
      </c>
      <c r="I12" s="32" t="s">
        <v>38</v>
      </c>
      <c r="J12" s="32">
        <v>3</v>
      </c>
      <c r="K12" s="32"/>
      <c r="L12" s="34">
        <v>13578.72</v>
      </c>
      <c r="M12" s="34">
        <v>23781.989999999998</v>
      </c>
      <c r="N12" s="34">
        <v>23781.989999999998</v>
      </c>
      <c r="O12" s="34">
        <f t="shared" si="0"/>
        <v>25158.250919999999</v>
      </c>
      <c r="P12" s="34">
        <f t="shared" si="3"/>
        <v>26265.21396048</v>
      </c>
      <c r="Q12" s="34">
        <f t="shared" si="4"/>
        <v>27447.148588701599</v>
      </c>
      <c r="S12" s="145">
        <f>'[1]6117EXP'!$N$8</f>
        <v>25158.250919999999</v>
      </c>
    </row>
    <row r="13" spans="1:19" s="107" customFormat="1" x14ac:dyDescent="0.25">
      <c r="A13" s="52" t="s">
        <v>672</v>
      </c>
      <c r="B13" s="52" t="s">
        <v>11</v>
      </c>
      <c r="C13" s="52" t="s">
        <v>12</v>
      </c>
      <c r="D13" s="52" t="s">
        <v>155</v>
      </c>
      <c r="E13" s="52" t="s">
        <v>90</v>
      </c>
      <c r="F13" s="52" t="s">
        <v>37</v>
      </c>
      <c r="G13" s="52" t="s">
        <v>16</v>
      </c>
      <c r="H13" s="52" t="s">
        <v>667</v>
      </c>
      <c r="I13" s="104" t="s">
        <v>38</v>
      </c>
      <c r="J13" s="104">
        <v>1</v>
      </c>
      <c r="K13" s="104"/>
      <c r="L13" s="34">
        <v>0</v>
      </c>
      <c r="M13" s="34">
        <v>0</v>
      </c>
      <c r="N13" s="34">
        <v>0</v>
      </c>
      <c r="O13" s="34">
        <f t="shared" si="0"/>
        <v>74902.14</v>
      </c>
      <c r="P13" s="34">
        <f t="shared" si="3"/>
        <v>78197.834159999999</v>
      </c>
      <c r="Q13" s="34">
        <f t="shared" si="4"/>
        <v>81716.736697199987</v>
      </c>
      <c r="S13" s="145">
        <f>'[2]6117EXP'!$J$8</f>
        <v>74902.14</v>
      </c>
    </row>
    <row r="14" spans="1:19" x14ac:dyDescent="0.25">
      <c r="A14" s="31" t="s">
        <v>2050</v>
      </c>
      <c r="B14" s="31"/>
      <c r="C14" s="31"/>
      <c r="D14" s="31" t="s">
        <v>2049</v>
      </c>
      <c r="E14" s="31"/>
      <c r="F14" s="31"/>
      <c r="G14" s="31"/>
      <c r="H14" s="31"/>
      <c r="I14" s="32"/>
      <c r="J14" s="32"/>
      <c r="K14" s="32"/>
      <c r="L14" s="34">
        <v>12141.251879999998</v>
      </c>
      <c r="M14" s="34">
        <v>11574.119999999999</v>
      </c>
      <c r="N14" s="34">
        <v>11574.119999999999</v>
      </c>
      <c r="O14" s="34">
        <f t="shared" si="0"/>
        <v>12141.251879999998</v>
      </c>
      <c r="P14" s="34">
        <f t="shared" si="3"/>
        <v>12675.466962719998</v>
      </c>
      <c r="Q14" s="34">
        <f t="shared" si="4"/>
        <v>13245.862976042397</v>
      </c>
      <c r="S14" s="145">
        <f>'[1]6117EXP'!$P$8</f>
        <v>12141.251879999998</v>
      </c>
    </row>
    <row r="15" spans="1:19" x14ac:dyDescent="0.25">
      <c r="A15" s="31" t="s">
        <v>681</v>
      </c>
      <c r="B15" s="31" t="s">
        <v>11</v>
      </c>
      <c r="C15" s="31" t="s">
        <v>12</v>
      </c>
      <c r="D15" s="31" t="s">
        <v>151</v>
      </c>
      <c r="E15" s="31" t="s">
        <v>90</v>
      </c>
      <c r="F15" s="31" t="s">
        <v>15</v>
      </c>
      <c r="G15" s="31" t="s">
        <v>16</v>
      </c>
      <c r="H15" s="31" t="s">
        <v>667</v>
      </c>
      <c r="I15" s="32" t="s">
        <v>18</v>
      </c>
      <c r="J15" s="32">
        <v>3</v>
      </c>
      <c r="K15" s="32"/>
      <c r="L15" s="34">
        <v>475.20000000000005</v>
      </c>
      <c r="M15" s="34">
        <v>401.70000000000005</v>
      </c>
      <c r="N15" s="34">
        <v>401.70000000000005</v>
      </c>
      <c r="O15" s="34">
        <f t="shared" si="0"/>
        <v>494.40000000000003</v>
      </c>
      <c r="P15" s="34">
        <f t="shared" si="3"/>
        <v>516.1536000000001</v>
      </c>
      <c r="Q15" s="34">
        <f t="shared" si="4"/>
        <v>539.38051200000007</v>
      </c>
      <c r="S15" s="145">
        <f>'[1]6117EXP'!$R$8</f>
        <v>494.40000000000003</v>
      </c>
    </row>
    <row r="16" spans="1:19" x14ac:dyDescent="0.25">
      <c r="A16" s="31" t="s">
        <v>684</v>
      </c>
      <c r="B16" s="31" t="s">
        <v>11</v>
      </c>
      <c r="C16" s="31" t="s">
        <v>12</v>
      </c>
      <c r="D16" s="31" t="s">
        <v>43</v>
      </c>
      <c r="E16" s="31" t="s">
        <v>90</v>
      </c>
      <c r="F16" s="31" t="s">
        <v>15</v>
      </c>
      <c r="G16" s="31" t="s">
        <v>16</v>
      </c>
      <c r="H16" s="31" t="s">
        <v>667</v>
      </c>
      <c r="I16" s="32" t="s">
        <v>18</v>
      </c>
      <c r="J16" s="32">
        <v>3</v>
      </c>
      <c r="K16" s="32"/>
      <c r="L16" s="34">
        <v>5989.44</v>
      </c>
      <c r="M16" s="34">
        <v>8636.3633999999984</v>
      </c>
      <c r="N16" s="34">
        <v>8636.3633999999984</v>
      </c>
      <c r="O16" s="34">
        <f t="shared" si="0"/>
        <v>5989.44</v>
      </c>
      <c r="P16" s="34">
        <f t="shared" si="3"/>
        <v>6252.9753599999995</v>
      </c>
      <c r="Q16" s="34">
        <f t="shared" si="4"/>
        <v>6534.3592511999987</v>
      </c>
      <c r="S16" s="145">
        <f>'[1]6117EXP'!$T$8</f>
        <v>5989.44</v>
      </c>
    </row>
    <row r="17" spans="1:19" x14ac:dyDescent="0.25">
      <c r="A17" s="31"/>
      <c r="B17" s="31"/>
      <c r="C17" s="31"/>
      <c r="D17" s="31"/>
      <c r="E17" s="31"/>
      <c r="F17" s="31"/>
      <c r="G17" s="31"/>
      <c r="H17" s="31"/>
      <c r="I17" s="32"/>
      <c r="J17" s="32"/>
      <c r="K17" s="32"/>
      <c r="L17" s="34"/>
      <c r="M17" s="34"/>
      <c r="N17" s="34"/>
      <c r="O17" s="34"/>
      <c r="P17" s="34"/>
      <c r="Q17" s="34"/>
      <c r="S17" s="145"/>
    </row>
    <row r="18" spans="1:19" x14ac:dyDescent="0.25">
      <c r="A18" s="31" t="s">
        <v>680</v>
      </c>
      <c r="B18" s="31" t="s">
        <v>11</v>
      </c>
      <c r="C18" s="31" t="s">
        <v>12</v>
      </c>
      <c r="D18" s="31" t="s">
        <v>30</v>
      </c>
      <c r="E18" s="31" t="s">
        <v>90</v>
      </c>
      <c r="F18" s="31" t="s">
        <v>15</v>
      </c>
      <c r="G18" s="31" t="s">
        <v>16</v>
      </c>
      <c r="H18" s="31" t="s">
        <v>667</v>
      </c>
      <c r="I18" s="32" t="s">
        <v>18</v>
      </c>
      <c r="J18" s="32">
        <v>3</v>
      </c>
      <c r="K18" s="32"/>
      <c r="L18" s="34">
        <v>18681.067826400002</v>
      </c>
      <c r="M18" s="34">
        <v>18610.329400000002</v>
      </c>
      <c r="N18" s="34">
        <v>18610.329400000002</v>
      </c>
      <c r="O18" s="34">
        <f t="shared" si="0"/>
        <v>19592.199854400002</v>
      </c>
      <c r="P18" s="34">
        <f t="shared" si="3"/>
        <v>20454.256647993603</v>
      </c>
      <c r="Q18" s="34">
        <f t="shared" si="4"/>
        <v>21374.698197153313</v>
      </c>
      <c r="S18" s="145">
        <f>'[1]6117EXP'!$Q$8</f>
        <v>19592.199854400002</v>
      </c>
    </row>
    <row r="19" spans="1:19" s="107" customFormat="1" x14ac:dyDescent="0.25">
      <c r="A19" s="52" t="s">
        <v>692</v>
      </c>
      <c r="B19" s="52" t="s">
        <v>11</v>
      </c>
      <c r="C19" s="52" t="s">
        <v>12</v>
      </c>
      <c r="D19" s="52" t="s">
        <v>1637</v>
      </c>
      <c r="E19" s="52" t="s">
        <v>90</v>
      </c>
      <c r="F19" s="52" t="s">
        <v>15</v>
      </c>
      <c r="G19" s="52" t="s">
        <v>16</v>
      </c>
      <c r="H19" s="52" t="s">
        <v>667</v>
      </c>
      <c r="I19" s="104" t="s">
        <v>18</v>
      </c>
      <c r="J19" s="104">
        <v>3</v>
      </c>
      <c r="K19" s="104"/>
      <c r="L19" s="105">
        <v>550000</v>
      </c>
      <c r="M19" s="105">
        <v>450000</v>
      </c>
      <c r="N19" s="105">
        <v>450000</v>
      </c>
      <c r="O19" s="105">
        <v>450000</v>
      </c>
      <c r="P19" s="105">
        <v>460000</v>
      </c>
      <c r="Q19" s="105">
        <v>480000</v>
      </c>
      <c r="S19" s="106"/>
    </row>
    <row r="20" spans="1:19" x14ac:dyDescent="0.25">
      <c r="A20" s="31" t="s">
        <v>690</v>
      </c>
      <c r="B20" s="31" t="s">
        <v>11</v>
      </c>
      <c r="C20" s="31" t="s">
        <v>12</v>
      </c>
      <c r="D20" s="31" t="s">
        <v>20</v>
      </c>
      <c r="E20" s="31" t="s">
        <v>90</v>
      </c>
      <c r="F20" s="31" t="s">
        <v>15</v>
      </c>
      <c r="G20" s="31" t="s">
        <v>16</v>
      </c>
      <c r="H20" s="31" t="s">
        <v>667</v>
      </c>
      <c r="I20" s="32" t="s">
        <v>18</v>
      </c>
      <c r="J20" s="32">
        <v>3</v>
      </c>
      <c r="K20" s="32"/>
      <c r="L20" s="43">
        <v>4000</v>
      </c>
      <c r="M20" s="43">
        <v>4000</v>
      </c>
      <c r="N20" s="43">
        <v>4000</v>
      </c>
      <c r="O20" s="43">
        <v>4250</v>
      </c>
      <c r="P20" s="43">
        <v>4500</v>
      </c>
      <c r="Q20" s="43">
        <v>4750</v>
      </c>
    </row>
    <row r="21" spans="1:19" x14ac:dyDescent="0.25">
      <c r="A21" s="31" t="s">
        <v>691</v>
      </c>
      <c r="B21" s="31" t="s">
        <v>11</v>
      </c>
      <c r="C21" s="31" t="s">
        <v>12</v>
      </c>
      <c r="D21" s="31" t="s">
        <v>24</v>
      </c>
      <c r="E21" s="31" t="s">
        <v>90</v>
      </c>
      <c r="F21" s="31" t="s">
        <v>15</v>
      </c>
      <c r="G21" s="31" t="s">
        <v>16</v>
      </c>
      <c r="H21" s="31" t="s">
        <v>667</v>
      </c>
      <c r="I21" s="32" t="s">
        <v>18</v>
      </c>
      <c r="J21" s="32">
        <v>3</v>
      </c>
      <c r="K21" s="32"/>
      <c r="L21" s="43">
        <v>3500</v>
      </c>
      <c r="M21" s="43">
        <v>3500</v>
      </c>
      <c r="N21" s="43">
        <v>3500</v>
      </c>
      <c r="O21" s="43">
        <v>3750</v>
      </c>
      <c r="P21" s="43">
        <v>4000</v>
      </c>
      <c r="Q21" s="43">
        <v>4250</v>
      </c>
    </row>
    <row r="22" spans="1:19" x14ac:dyDescent="0.25">
      <c r="A22" s="31" t="s">
        <v>689</v>
      </c>
      <c r="B22" s="31" t="s">
        <v>11</v>
      </c>
      <c r="C22" s="31" t="s">
        <v>12</v>
      </c>
      <c r="D22" s="31" t="s">
        <v>28</v>
      </c>
      <c r="E22" s="31" t="s">
        <v>90</v>
      </c>
      <c r="F22" s="31" t="s">
        <v>15</v>
      </c>
      <c r="G22" s="31" t="s">
        <v>16</v>
      </c>
      <c r="H22" s="31" t="s">
        <v>667</v>
      </c>
      <c r="I22" s="32" t="s">
        <v>18</v>
      </c>
      <c r="J22" s="32">
        <v>3</v>
      </c>
      <c r="K22" s="32"/>
      <c r="L22" s="43">
        <v>31500</v>
      </c>
      <c r="M22" s="43">
        <v>20000</v>
      </c>
      <c r="N22" s="43">
        <v>20000</v>
      </c>
      <c r="O22" s="43">
        <v>20000</v>
      </c>
      <c r="P22" s="43">
        <v>21500</v>
      </c>
      <c r="Q22" s="43">
        <v>22000</v>
      </c>
    </row>
    <row r="23" spans="1:19" x14ac:dyDescent="0.25">
      <c r="A23" s="31" t="s">
        <v>1198</v>
      </c>
      <c r="B23" s="31" t="s">
        <v>28</v>
      </c>
      <c r="C23" s="31" t="s">
        <v>203</v>
      </c>
      <c r="D23" s="31" t="s">
        <v>28</v>
      </c>
      <c r="E23" s="31" t="s">
        <v>37</v>
      </c>
      <c r="F23" s="31" t="s">
        <v>16</v>
      </c>
      <c r="G23" s="31" t="s">
        <v>667</v>
      </c>
      <c r="L23" s="43">
        <v>42000</v>
      </c>
      <c r="M23" s="43">
        <v>42000</v>
      </c>
      <c r="N23" s="43">
        <v>42000</v>
      </c>
      <c r="O23" s="43">
        <v>42000</v>
      </c>
      <c r="P23" s="43">
        <v>43500</v>
      </c>
      <c r="Q23" s="43">
        <v>45500</v>
      </c>
    </row>
    <row r="24" spans="1:19" x14ac:dyDescent="0.25">
      <c r="A24" s="31" t="s">
        <v>669</v>
      </c>
      <c r="B24" s="31" t="s">
        <v>11</v>
      </c>
      <c r="C24" s="31" t="s">
        <v>12</v>
      </c>
      <c r="D24" s="31" t="s">
        <v>13</v>
      </c>
      <c r="E24" s="31" t="s">
        <v>90</v>
      </c>
      <c r="F24" s="31" t="s">
        <v>37</v>
      </c>
      <c r="G24" s="31" t="s">
        <v>16</v>
      </c>
      <c r="H24" s="31" t="s">
        <v>667</v>
      </c>
      <c r="I24" s="32" t="s">
        <v>38</v>
      </c>
      <c r="J24" s="32">
        <v>1</v>
      </c>
      <c r="K24" s="32"/>
      <c r="L24" s="43">
        <v>31200</v>
      </c>
      <c r="M24" s="43">
        <v>31200</v>
      </c>
      <c r="N24" s="43">
        <v>31200</v>
      </c>
      <c r="O24" s="43">
        <v>31500</v>
      </c>
      <c r="P24" s="43">
        <v>33000</v>
      </c>
      <c r="Q24" s="43">
        <v>34000</v>
      </c>
    </row>
    <row r="25" spans="1:19" x14ac:dyDescent="0.25">
      <c r="A25" s="31" t="s">
        <v>675</v>
      </c>
      <c r="B25" s="31" t="s">
        <v>11</v>
      </c>
      <c r="C25" s="31" t="s">
        <v>228</v>
      </c>
      <c r="D25" s="31" t="s">
        <v>13</v>
      </c>
      <c r="E25" s="31" t="s">
        <v>90</v>
      </c>
      <c r="F25" s="31" t="s">
        <v>15</v>
      </c>
      <c r="G25" s="31" t="s">
        <v>16</v>
      </c>
      <c r="H25" s="31" t="s">
        <v>667</v>
      </c>
      <c r="I25" s="32" t="s">
        <v>18</v>
      </c>
      <c r="J25" s="32">
        <v>3</v>
      </c>
      <c r="K25" s="32"/>
      <c r="L25" s="43">
        <v>11500</v>
      </c>
      <c r="M25" s="43">
        <v>11500</v>
      </c>
      <c r="N25" s="43">
        <v>11500</v>
      </c>
      <c r="O25" s="43">
        <v>11500</v>
      </c>
      <c r="P25" s="43">
        <v>13000</v>
      </c>
      <c r="Q25" s="43">
        <v>14000</v>
      </c>
    </row>
    <row r="26" spans="1:19" x14ac:dyDescent="0.25">
      <c r="A26" s="31" t="s">
        <v>668</v>
      </c>
      <c r="B26" s="31" t="s">
        <v>11</v>
      </c>
      <c r="C26" s="31" t="s">
        <v>12</v>
      </c>
      <c r="D26" s="31" t="s">
        <v>32</v>
      </c>
      <c r="E26" s="31" t="s">
        <v>90</v>
      </c>
      <c r="F26" s="31" t="s">
        <v>37</v>
      </c>
      <c r="G26" s="31" t="s">
        <v>16</v>
      </c>
      <c r="H26" s="31" t="s">
        <v>667</v>
      </c>
      <c r="I26" s="32" t="s">
        <v>38</v>
      </c>
      <c r="J26" s="32">
        <v>1</v>
      </c>
      <c r="K26" s="32"/>
      <c r="L26" s="43">
        <v>5000</v>
      </c>
      <c r="M26" s="43">
        <v>0</v>
      </c>
      <c r="N26" s="43">
        <v>0</v>
      </c>
      <c r="O26" s="43">
        <v>3000</v>
      </c>
      <c r="P26" s="43">
        <v>3500</v>
      </c>
      <c r="Q26" s="43">
        <v>4000</v>
      </c>
    </row>
    <row r="27" spans="1:19" hidden="1" x14ac:dyDescent="0.25">
      <c r="A27" s="31" t="s">
        <v>674</v>
      </c>
      <c r="B27" s="31" t="s">
        <v>11</v>
      </c>
      <c r="C27" s="31" t="s">
        <v>228</v>
      </c>
      <c r="D27" s="31" t="s">
        <v>32</v>
      </c>
      <c r="E27" s="31" t="s">
        <v>90</v>
      </c>
      <c r="F27" s="31" t="s">
        <v>15</v>
      </c>
      <c r="G27" s="31" t="s">
        <v>16</v>
      </c>
      <c r="H27" s="31" t="s">
        <v>667</v>
      </c>
      <c r="I27" s="32" t="s">
        <v>18</v>
      </c>
      <c r="J27" s="32">
        <v>3</v>
      </c>
      <c r="K27" s="32"/>
      <c r="L27" s="43">
        <v>0</v>
      </c>
      <c r="M27" s="43"/>
      <c r="N27" s="43"/>
      <c r="O27" s="43"/>
      <c r="P27" s="43"/>
      <c r="Q27" s="43"/>
    </row>
    <row r="28" spans="1:19" hidden="1" x14ac:dyDescent="0.25">
      <c r="A28" s="31" t="s">
        <v>693</v>
      </c>
      <c r="B28" s="31" t="s">
        <v>11</v>
      </c>
      <c r="C28" s="31" t="s">
        <v>12</v>
      </c>
      <c r="D28" s="31" t="s">
        <v>26</v>
      </c>
      <c r="E28" s="31" t="s">
        <v>90</v>
      </c>
      <c r="F28" s="31" t="s">
        <v>15</v>
      </c>
      <c r="G28" s="31" t="s">
        <v>16</v>
      </c>
      <c r="H28" s="31" t="s">
        <v>667</v>
      </c>
      <c r="I28" s="32" t="s">
        <v>18</v>
      </c>
      <c r="J28" s="32">
        <v>3</v>
      </c>
      <c r="K28" s="32"/>
      <c r="L28" s="43"/>
      <c r="M28" s="43"/>
      <c r="N28" s="43"/>
      <c r="O28" s="43"/>
      <c r="P28" s="43"/>
      <c r="Q28" s="43"/>
    </row>
    <row r="29" spans="1:19" x14ac:dyDescent="0.25">
      <c r="A29" s="31" t="s">
        <v>673</v>
      </c>
      <c r="B29" s="31" t="s">
        <v>11</v>
      </c>
      <c r="C29" s="31" t="s">
        <v>203</v>
      </c>
      <c r="D29" s="31" t="s">
        <v>26</v>
      </c>
      <c r="E29" s="31" t="s">
        <v>90</v>
      </c>
      <c r="F29" s="31" t="s">
        <v>37</v>
      </c>
      <c r="G29" s="31" t="s">
        <v>16</v>
      </c>
      <c r="H29" s="31" t="s">
        <v>667</v>
      </c>
      <c r="I29" s="32" t="s">
        <v>38</v>
      </c>
      <c r="J29" s="32">
        <v>1</v>
      </c>
      <c r="K29" s="32"/>
      <c r="L29" s="43">
        <v>6000</v>
      </c>
      <c r="M29" s="43">
        <v>0</v>
      </c>
      <c r="N29" s="43">
        <v>0</v>
      </c>
      <c r="O29" s="43">
        <v>3000</v>
      </c>
      <c r="P29" s="43">
        <v>3500</v>
      </c>
      <c r="Q29" s="43">
        <v>4000</v>
      </c>
    </row>
    <row r="30" spans="1:19" x14ac:dyDescent="0.25">
      <c r="A30" s="31" t="s">
        <v>670</v>
      </c>
      <c r="B30" s="31" t="s">
        <v>11</v>
      </c>
      <c r="C30" s="31" t="s">
        <v>12</v>
      </c>
      <c r="D30" s="31" t="s">
        <v>147</v>
      </c>
      <c r="E30" s="31" t="s">
        <v>90</v>
      </c>
      <c r="F30" s="31" t="s">
        <v>37</v>
      </c>
      <c r="G30" s="31" t="s">
        <v>16</v>
      </c>
      <c r="H30" s="31" t="s">
        <v>667</v>
      </c>
      <c r="I30" s="32" t="s">
        <v>38</v>
      </c>
      <c r="J30" s="32">
        <v>1</v>
      </c>
      <c r="K30" s="32"/>
      <c r="L30" s="43">
        <v>15000</v>
      </c>
      <c r="M30" s="43">
        <v>15000</v>
      </c>
      <c r="N30" s="43">
        <v>15000</v>
      </c>
      <c r="O30" s="43">
        <v>15000</v>
      </c>
      <c r="P30" s="43">
        <v>16000</v>
      </c>
      <c r="Q30" s="43">
        <v>17000</v>
      </c>
    </row>
    <row r="31" spans="1:19" hidden="1" x14ac:dyDescent="0.25">
      <c r="A31" s="31" t="s">
        <v>676</v>
      </c>
      <c r="B31" s="31" t="s">
        <v>11</v>
      </c>
      <c r="C31" s="31" t="s">
        <v>228</v>
      </c>
      <c r="D31" s="31" t="s">
        <v>22</v>
      </c>
      <c r="E31" s="31" t="s">
        <v>90</v>
      </c>
      <c r="F31" s="31" t="s">
        <v>15</v>
      </c>
      <c r="G31" s="31" t="s">
        <v>16</v>
      </c>
      <c r="H31" s="31" t="s">
        <v>667</v>
      </c>
      <c r="I31" s="32" t="s">
        <v>18</v>
      </c>
      <c r="J31" s="32">
        <v>3</v>
      </c>
      <c r="K31" s="32"/>
      <c r="L31" s="43"/>
      <c r="M31" s="43"/>
      <c r="N31" s="43"/>
      <c r="O31" s="43"/>
      <c r="P31" s="43"/>
      <c r="Q31" s="43"/>
    </row>
    <row r="32" spans="1:19" x14ac:dyDescent="0.25">
      <c r="A32" s="31" t="s">
        <v>671</v>
      </c>
      <c r="B32" s="31" t="s">
        <v>11</v>
      </c>
      <c r="C32" s="31" t="s">
        <v>639</v>
      </c>
      <c r="D32" s="31" t="s">
        <v>238</v>
      </c>
      <c r="E32" s="31" t="s">
        <v>90</v>
      </c>
      <c r="F32" s="31" t="s">
        <v>15</v>
      </c>
      <c r="G32" s="31" t="s">
        <v>16</v>
      </c>
      <c r="H32" s="31" t="s">
        <v>667</v>
      </c>
      <c r="I32" s="32" t="s">
        <v>18</v>
      </c>
      <c r="J32" s="32">
        <v>3</v>
      </c>
      <c r="K32" s="32"/>
      <c r="L32" s="43">
        <v>1800000</v>
      </c>
      <c r="M32" s="43">
        <v>4000000</v>
      </c>
      <c r="N32" s="43">
        <v>4000000</v>
      </c>
      <c r="O32" s="43">
        <v>3800000</v>
      </c>
      <c r="P32" s="43">
        <v>3800000</v>
      </c>
      <c r="Q32" s="43">
        <v>4000000</v>
      </c>
    </row>
    <row r="33" spans="1:17" hidden="1" x14ac:dyDescent="0.25">
      <c r="A33" s="31" t="s">
        <v>677</v>
      </c>
      <c r="B33" s="31" t="s">
        <v>11</v>
      </c>
      <c r="C33" s="31" t="s">
        <v>347</v>
      </c>
      <c r="D33" s="31" t="s">
        <v>238</v>
      </c>
      <c r="E33" s="31" t="s">
        <v>90</v>
      </c>
      <c r="F33" s="31" t="s">
        <v>37</v>
      </c>
      <c r="G33" s="31" t="s">
        <v>16</v>
      </c>
      <c r="H33" s="31" t="s">
        <v>667</v>
      </c>
      <c r="I33" s="32" t="s">
        <v>38</v>
      </c>
      <c r="J33" s="32">
        <v>1</v>
      </c>
      <c r="K33" s="32"/>
    </row>
    <row r="35" spans="1:17" ht="15.75" thickBot="1" x14ac:dyDescent="0.3">
      <c r="A35" s="93" t="s">
        <v>1203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1">
        <f>SUM(L5:L34)</f>
        <v>5549544.0397472</v>
      </c>
      <c r="M35" s="91">
        <f t="shared" ref="M35:Q35" si="5">SUM(M5:M34)</f>
        <v>7270226.2896000007</v>
      </c>
      <c r="N35" s="91">
        <f t="shared" si="5"/>
        <v>7270226.2896000007</v>
      </c>
      <c r="O35" s="91">
        <f t="shared" si="5"/>
        <v>7669437.2698911987</v>
      </c>
      <c r="P35" s="91">
        <f t="shared" si="5"/>
        <v>7832496.5097664129</v>
      </c>
      <c r="Q35" s="91">
        <f t="shared" si="5"/>
        <v>8213846.3527059024</v>
      </c>
    </row>
  </sheetData>
  <sortState xmlns:xlrd2="http://schemas.microsoft.com/office/spreadsheetml/2017/richdata2" ref="A2:Z63">
    <sortCondition ref="D2:D63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S51"/>
  <sheetViews>
    <sheetView zoomScale="110" zoomScaleNormal="110" workbookViewId="0">
      <pane ySplit="4" topLeftCell="A10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35" bestFit="1" customWidth="1"/>
    <col min="2" max="3" width="0" style="35" hidden="1" customWidth="1"/>
    <col min="4" max="4" width="28" style="35" bestFit="1" customWidth="1"/>
    <col min="5" max="5" width="11.625" style="35" hidden="1" customWidth="1"/>
    <col min="6" max="11" width="9.125" style="35" hidden="1" customWidth="1"/>
    <col min="12" max="12" width="13.25" style="37" bestFit="1" customWidth="1"/>
    <col min="13" max="13" width="13" style="35" customWidth="1"/>
    <col min="14" max="17" width="13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1740</v>
      </c>
      <c r="B3" s="72"/>
      <c r="C3" s="72"/>
      <c r="D3" s="72"/>
    </row>
    <row r="4" spans="1:19" s="92" customFormat="1" ht="60" customHeight="1" x14ac:dyDescent="0.25">
      <c r="A4" s="35" t="s">
        <v>1202</v>
      </c>
      <c r="B4" s="92" t="s">
        <v>0</v>
      </c>
      <c r="C4" s="92" t="s">
        <v>1</v>
      </c>
      <c r="D4" s="92" t="s">
        <v>2</v>
      </c>
      <c r="E4" s="92" t="s">
        <v>3</v>
      </c>
      <c r="F4" s="92" t="s">
        <v>4</v>
      </c>
      <c r="G4" s="92" t="s">
        <v>5</v>
      </c>
      <c r="H4" s="92" t="s">
        <v>6</v>
      </c>
      <c r="I4" s="92" t="s">
        <v>7</v>
      </c>
      <c r="J4" s="92" t="s">
        <v>8</v>
      </c>
      <c r="K4" s="92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  <c r="S4" s="48"/>
    </row>
    <row r="5" spans="1:19" s="171" customFormat="1" x14ac:dyDescent="0.25">
      <c r="A5" s="171" t="s">
        <v>1608</v>
      </c>
      <c r="B5" s="169"/>
      <c r="C5" s="169"/>
      <c r="D5" s="169"/>
      <c r="E5" s="169"/>
      <c r="F5" s="169"/>
      <c r="G5" s="169"/>
      <c r="H5" s="169"/>
      <c r="I5" s="170"/>
      <c r="J5" s="170"/>
      <c r="K5" s="170"/>
      <c r="L5" s="34"/>
      <c r="M5" s="34"/>
      <c r="N5" s="34"/>
      <c r="O5" s="34"/>
      <c r="P5" s="34"/>
      <c r="Q5" s="34"/>
      <c r="S5" s="145"/>
    </row>
    <row r="6" spans="1:19" s="171" customFormat="1" x14ac:dyDescent="0.25">
      <c r="A6" s="175" t="s">
        <v>2218</v>
      </c>
      <c r="B6" s="169"/>
      <c r="C6" s="169"/>
      <c r="D6" s="172" t="s">
        <v>2196</v>
      </c>
      <c r="E6" s="169"/>
      <c r="F6" s="169"/>
      <c r="G6" s="169"/>
      <c r="H6" s="169"/>
      <c r="I6" s="170"/>
      <c r="J6" s="170"/>
      <c r="K6" s="170"/>
      <c r="L6" s="34">
        <v>0</v>
      </c>
      <c r="M6" s="34">
        <v>10727810.48</v>
      </c>
      <c r="N6" s="34">
        <v>10727810.48</v>
      </c>
      <c r="O6" s="34">
        <v>0</v>
      </c>
      <c r="P6" s="34">
        <v>0</v>
      </c>
      <c r="Q6" s="34">
        <v>0</v>
      </c>
      <c r="S6" s="145"/>
    </row>
    <row r="7" spans="1:19" s="171" customFormat="1" x14ac:dyDescent="0.25">
      <c r="A7" s="169"/>
      <c r="B7" s="169"/>
      <c r="C7" s="169"/>
      <c r="D7" s="169"/>
      <c r="E7" s="169"/>
      <c r="F7" s="169"/>
      <c r="G7" s="169"/>
      <c r="H7" s="169"/>
      <c r="I7" s="170"/>
      <c r="J7" s="170"/>
      <c r="K7" s="170"/>
      <c r="L7" s="34"/>
      <c r="M7" s="34"/>
      <c r="N7" s="34"/>
      <c r="O7" s="34"/>
      <c r="P7" s="34"/>
      <c r="Q7" s="34"/>
      <c r="S7" s="145"/>
    </row>
    <row r="8" spans="1:19" s="171" customFormat="1" x14ac:dyDescent="0.25">
      <c r="A8" s="173" t="s">
        <v>1609</v>
      </c>
      <c r="B8" s="173"/>
      <c r="C8" s="173"/>
      <c r="D8" s="173"/>
      <c r="E8" s="173"/>
      <c r="F8" s="173"/>
      <c r="G8" s="173"/>
      <c r="H8" s="173"/>
      <c r="L8" s="37">
        <f>L6</f>
        <v>0</v>
      </c>
      <c r="M8" s="37">
        <f t="shared" ref="M8:Q8" si="0">M6</f>
        <v>10727810.48</v>
      </c>
      <c r="N8" s="37">
        <f t="shared" si="0"/>
        <v>10727810.48</v>
      </c>
      <c r="O8" s="37">
        <f t="shared" si="0"/>
        <v>0</v>
      </c>
      <c r="P8" s="37">
        <f t="shared" si="0"/>
        <v>0</v>
      </c>
      <c r="Q8" s="37">
        <f t="shared" si="0"/>
        <v>0</v>
      </c>
      <c r="S8" s="145"/>
    </row>
    <row r="9" spans="1:19" s="171" customFormat="1" x14ac:dyDescent="0.25">
      <c r="A9" s="169"/>
      <c r="B9" s="169"/>
      <c r="C9" s="169"/>
      <c r="D9" s="169"/>
      <c r="E9" s="169"/>
      <c r="F9" s="169"/>
      <c r="G9" s="169"/>
      <c r="H9" s="169"/>
      <c r="I9" s="170"/>
      <c r="J9" s="170"/>
      <c r="K9" s="170"/>
      <c r="L9" s="34"/>
      <c r="M9" s="34"/>
      <c r="N9" s="34"/>
      <c r="O9" s="34"/>
      <c r="P9" s="34"/>
      <c r="Q9" s="34"/>
      <c r="S9" s="145"/>
    </row>
    <row r="10" spans="1:19" x14ac:dyDescent="0.25">
      <c r="A10" s="31" t="s">
        <v>1953</v>
      </c>
      <c r="B10" s="31" t="s">
        <v>11</v>
      </c>
      <c r="C10" s="31" t="s">
        <v>12</v>
      </c>
      <c r="D10" s="31" t="s">
        <v>157</v>
      </c>
      <c r="E10" s="31" t="s">
        <v>695</v>
      </c>
      <c r="F10" s="31" t="s">
        <v>15</v>
      </c>
      <c r="G10" s="31" t="s">
        <v>16</v>
      </c>
      <c r="H10" s="31" t="s">
        <v>560</v>
      </c>
      <c r="I10" s="32" t="s">
        <v>18</v>
      </c>
      <c r="J10" s="32">
        <v>3</v>
      </c>
      <c r="K10" s="32"/>
      <c r="L10" s="34">
        <v>1940774.2855199999</v>
      </c>
      <c r="M10" s="34">
        <v>1447555.02</v>
      </c>
      <c r="N10" s="34">
        <v>1447555.02</v>
      </c>
      <c r="O10" s="34">
        <f>S10</f>
        <v>2038701.4986</v>
      </c>
      <c r="P10" s="34">
        <f>O10*1.044</f>
        <v>2128404.3645384</v>
      </c>
      <c r="Q10" s="34">
        <f>P10*1.045</f>
        <v>2224182.560942628</v>
      </c>
      <c r="S10" s="145">
        <f>'[1]6119BUDGET'!$E$3+'[1]6119BUDGET'!$E$4+'[1]6119BUDGET'!$E$5+'[1]6119BUDGET'!$E$13</f>
        <v>2038701.4986</v>
      </c>
    </row>
    <row r="11" spans="1:19" x14ac:dyDescent="0.25">
      <c r="A11" s="31" t="s">
        <v>1954</v>
      </c>
      <c r="B11" s="31" t="s">
        <v>11</v>
      </c>
      <c r="C11" s="31" t="s">
        <v>203</v>
      </c>
      <c r="D11" s="31" t="s">
        <v>157</v>
      </c>
      <c r="E11" s="31" t="s">
        <v>702</v>
      </c>
      <c r="F11" s="31" t="s">
        <v>37</v>
      </c>
      <c r="G11" s="31" t="s">
        <v>16</v>
      </c>
      <c r="H11" s="31" t="s">
        <v>560</v>
      </c>
      <c r="I11" s="32" t="s">
        <v>38</v>
      </c>
      <c r="J11" s="32">
        <v>1</v>
      </c>
      <c r="K11" s="32"/>
      <c r="L11" s="34">
        <v>734297.06279999984</v>
      </c>
      <c r="M11" s="34">
        <v>566666.43999999994</v>
      </c>
      <c r="N11" s="34">
        <v>566666.43999999994</v>
      </c>
      <c r="O11" s="34">
        <f t="shared" ref="O11:O29" si="1">S11</f>
        <v>699999.71999999986</v>
      </c>
      <c r="P11" s="34">
        <f t="shared" ref="P11:P29" si="2">O11*1.044</f>
        <v>730799.70767999988</v>
      </c>
      <c r="Q11" s="34">
        <f t="shared" ref="Q11:Q29" si="3">P11*1.045</f>
        <v>763685.69452559983</v>
      </c>
      <c r="S11" s="145">
        <f>'[1]6119BUDGET'!$E$6+'[1]6119BUDGET'!$E$7+'[1]6119BUDGET'!$E$8+'[1]6119BUDGET'!$E$9+'[1]6119BUDGET'!$E$10+'[1]6119BUDGET'!$E$11+'[1]6119BUDGET'!$E$12</f>
        <v>699999.71999999986</v>
      </c>
    </row>
    <row r="12" spans="1:19" hidden="1" x14ac:dyDescent="0.25">
      <c r="A12" s="31" t="s">
        <v>1955</v>
      </c>
      <c r="B12" s="31" t="s">
        <v>11</v>
      </c>
      <c r="C12" s="31" t="s">
        <v>12</v>
      </c>
      <c r="D12" s="31" t="s">
        <v>86</v>
      </c>
      <c r="E12" s="31" t="s">
        <v>702</v>
      </c>
      <c r="F12" s="31" t="s">
        <v>37</v>
      </c>
      <c r="G12" s="31" t="s">
        <v>16</v>
      </c>
      <c r="H12" s="31" t="s">
        <v>560</v>
      </c>
      <c r="I12" s="32" t="s">
        <v>38</v>
      </c>
      <c r="J12" s="32">
        <v>1</v>
      </c>
      <c r="K12" s="32"/>
      <c r="L12" s="34"/>
      <c r="M12" s="34">
        <v>0</v>
      </c>
      <c r="N12" s="34">
        <v>0</v>
      </c>
      <c r="O12" s="34">
        <f t="shared" si="1"/>
        <v>0</v>
      </c>
      <c r="P12" s="34">
        <f t="shared" si="2"/>
        <v>0</v>
      </c>
      <c r="Q12" s="34">
        <f t="shared" si="3"/>
        <v>0</v>
      </c>
      <c r="S12" s="145"/>
    </row>
    <row r="13" spans="1:19" x14ac:dyDescent="0.25">
      <c r="A13" s="31" t="s">
        <v>1956</v>
      </c>
      <c r="B13" s="31" t="s">
        <v>11</v>
      </c>
      <c r="C13" s="31" t="s">
        <v>12</v>
      </c>
      <c r="D13" s="31" t="s">
        <v>1630</v>
      </c>
      <c r="E13" s="31" t="s">
        <v>695</v>
      </c>
      <c r="F13" s="31" t="s">
        <v>15</v>
      </c>
      <c r="G13" s="31" t="s">
        <v>16</v>
      </c>
      <c r="H13" s="31" t="s">
        <v>560</v>
      </c>
      <c r="I13" s="32" t="s">
        <v>18</v>
      </c>
      <c r="J13" s="32">
        <v>3</v>
      </c>
      <c r="K13" s="32"/>
      <c r="L13" s="34">
        <v>20000</v>
      </c>
      <c r="M13" s="34">
        <v>15000</v>
      </c>
      <c r="N13" s="34">
        <v>15000</v>
      </c>
      <c r="O13" s="34">
        <v>15000</v>
      </c>
      <c r="P13" s="34">
        <f t="shared" si="2"/>
        <v>15660</v>
      </c>
      <c r="Q13" s="34">
        <f t="shared" si="3"/>
        <v>16364.699999999999</v>
      </c>
      <c r="S13" s="145"/>
    </row>
    <row r="14" spans="1:19" x14ac:dyDescent="0.25">
      <c r="A14" s="31" t="s">
        <v>1957</v>
      </c>
      <c r="B14" s="31"/>
      <c r="C14" s="31"/>
      <c r="D14" s="31" t="s">
        <v>1630</v>
      </c>
      <c r="E14" s="31"/>
      <c r="F14" s="31"/>
      <c r="G14" s="31"/>
      <c r="H14" s="31"/>
      <c r="I14" s="32"/>
      <c r="J14" s="32"/>
      <c r="K14" s="32"/>
      <c r="L14" s="34">
        <v>20000</v>
      </c>
      <c r="M14" s="34">
        <v>20000</v>
      </c>
      <c r="N14" s="34">
        <v>20000</v>
      </c>
      <c r="O14" s="34">
        <v>20000</v>
      </c>
      <c r="P14" s="34">
        <f t="shared" si="2"/>
        <v>20880</v>
      </c>
      <c r="Q14" s="34">
        <f t="shared" si="3"/>
        <v>21819.599999999999</v>
      </c>
      <c r="S14" s="145">
        <v>0</v>
      </c>
    </row>
    <row r="15" spans="1:19" x14ac:dyDescent="0.25">
      <c r="A15" s="31" t="s">
        <v>1958</v>
      </c>
      <c r="B15" s="31" t="s">
        <v>11</v>
      </c>
      <c r="C15" s="31" t="s">
        <v>12</v>
      </c>
      <c r="D15" s="31" t="s">
        <v>153</v>
      </c>
      <c r="E15" s="31" t="s">
        <v>695</v>
      </c>
      <c r="F15" s="31" t="s">
        <v>15</v>
      </c>
      <c r="G15" s="31" t="s">
        <v>16</v>
      </c>
      <c r="H15" s="31" t="s">
        <v>560</v>
      </c>
      <c r="I15" s="32" t="s">
        <v>18</v>
      </c>
      <c r="J15" s="32">
        <v>3</v>
      </c>
      <c r="K15" s="32"/>
      <c r="L15" s="34">
        <v>257341.70801999996</v>
      </c>
      <c r="M15" s="34">
        <v>119175.45999999999</v>
      </c>
      <c r="N15" s="34">
        <v>119175.45999999999</v>
      </c>
      <c r="O15" s="34">
        <f t="shared" si="1"/>
        <v>169891.79154999999</v>
      </c>
      <c r="P15" s="34">
        <f t="shared" si="2"/>
        <v>177367.0303782</v>
      </c>
      <c r="Q15" s="34">
        <f t="shared" si="3"/>
        <v>185348.54674521898</v>
      </c>
      <c r="S15" s="145">
        <f>'[1]6119BUDGET'!$I$15</f>
        <v>169891.79154999999</v>
      </c>
    </row>
    <row r="16" spans="1:19" x14ac:dyDescent="0.25">
      <c r="A16" s="31" t="s">
        <v>1959</v>
      </c>
      <c r="B16" s="31" t="s">
        <v>11</v>
      </c>
      <c r="C16" s="31" t="s">
        <v>12</v>
      </c>
      <c r="D16" s="31" t="s">
        <v>41</v>
      </c>
      <c r="E16" s="31" t="s">
        <v>695</v>
      </c>
      <c r="F16" s="31" t="s">
        <v>15</v>
      </c>
      <c r="G16" s="31" t="s">
        <v>16</v>
      </c>
      <c r="H16" s="31" t="s">
        <v>560</v>
      </c>
      <c r="I16" s="32" t="s">
        <v>18</v>
      </c>
      <c r="J16" s="32">
        <v>3</v>
      </c>
      <c r="K16" s="32"/>
      <c r="L16" s="34">
        <v>426970.34281439998</v>
      </c>
      <c r="M16" s="34">
        <v>300397.86180000001</v>
      </c>
      <c r="N16" s="34">
        <v>300397.86180000001</v>
      </c>
      <c r="O16" s="34">
        <f t="shared" si="1"/>
        <v>448514.32969199994</v>
      </c>
      <c r="P16" s="34">
        <f t="shared" si="2"/>
        <v>468248.96019844798</v>
      </c>
      <c r="Q16" s="34">
        <f t="shared" si="3"/>
        <v>489320.16340737813</v>
      </c>
      <c r="S16" s="145">
        <f>'[1]6119BUDGET'!$K$15</f>
        <v>448514.32969199994</v>
      </c>
    </row>
    <row r="17" spans="1:19" x14ac:dyDescent="0.25">
      <c r="A17" s="31" t="s">
        <v>1960</v>
      </c>
      <c r="B17" s="31" t="s">
        <v>11</v>
      </c>
      <c r="C17" s="31" t="s">
        <v>12</v>
      </c>
      <c r="D17" s="31" t="s">
        <v>36</v>
      </c>
      <c r="E17" s="31" t="s">
        <v>695</v>
      </c>
      <c r="F17" s="31" t="s">
        <v>15</v>
      </c>
      <c r="G17" s="31" t="s">
        <v>16</v>
      </c>
      <c r="H17" s="31" t="s">
        <v>560</v>
      </c>
      <c r="I17" s="32" t="s">
        <v>18</v>
      </c>
      <c r="J17" s="32">
        <v>3</v>
      </c>
      <c r="K17" s="32"/>
      <c r="L17" s="34">
        <v>118231.2</v>
      </c>
      <c r="M17" s="34">
        <v>96006</v>
      </c>
      <c r="N17" s="34">
        <v>96006</v>
      </c>
      <c r="O17" s="34">
        <f t="shared" si="1"/>
        <v>122076</v>
      </c>
      <c r="P17" s="34">
        <f t="shared" si="2"/>
        <v>127447.34400000001</v>
      </c>
      <c r="Q17" s="34">
        <f t="shared" si="3"/>
        <v>133182.47448</v>
      </c>
      <c r="S17" s="145">
        <f>'[1]6119BUDGET'!$L$15</f>
        <v>122076</v>
      </c>
    </row>
    <row r="18" spans="1:19" x14ac:dyDescent="0.25">
      <c r="A18" s="31" t="s">
        <v>1961</v>
      </c>
      <c r="B18" s="31" t="s">
        <v>11</v>
      </c>
      <c r="C18" s="31" t="s">
        <v>12</v>
      </c>
      <c r="D18" s="31" t="s">
        <v>47</v>
      </c>
      <c r="E18" s="31" t="s">
        <v>695</v>
      </c>
      <c r="F18" s="31" t="s">
        <v>15</v>
      </c>
      <c r="G18" s="31" t="s">
        <v>16</v>
      </c>
      <c r="H18" s="31" t="s">
        <v>560</v>
      </c>
      <c r="I18" s="32" t="s">
        <v>18</v>
      </c>
      <c r="J18" s="32">
        <v>3</v>
      </c>
      <c r="K18" s="32"/>
      <c r="L18" s="34">
        <v>565530.12</v>
      </c>
      <c r="M18" s="34">
        <v>491678.73</v>
      </c>
      <c r="N18" s="34">
        <v>491678.73</v>
      </c>
      <c r="O18" s="34">
        <f t="shared" si="1"/>
        <v>614004.62423999992</v>
      </c>
      <c r="P18" s="34">
        <f t="shared" si="2"/>
        <v>641020.82770655991</v>
      </c>
      <c r="Q18" s="34">
        <f t="shared" si="3"/>
        <v>669866.76495335507</v>
      </c>
      <c r="S18" s="145">
        <f>'[1]6119BUDGET'!$M$15</f>
        <v>614004.62423999992</v>
      </c>
    </row>
    <row r="19" spans="1:19" x14ac:dyDescent="0.25">
      <c r="A19" s="31" t="s">
        <v>1962</v>
      </c>
      <c r="B19" s="31" t="s">
        <v>11</v>
      </c>
      <c r="C19" s="31" t="s">
        <v>12</v>
      </c>
      <c r="D19" s="31" t="s">
        <v>45</v>
      </c>
      <c r="E19" s="31" t="s">
        <v>702</v>
      </c>
      <c r="F19" s="31" t="s">
        <v>37</v>
      </c>
      <c r="G19" s="31" t="s">
        <v>16</v>
      </c>
      <c r="H19" s="31" t="s">
        <v>560</v>
      </c>
      <c r="I19" s="32" t="s">
        <v>38</v>
      </c>
      <c r="J19" s="32">
        <v>4</v>
      </c>
      <c r="K19" s="32"/>
      <c r="L19" s="34">
        <v>13578.72</v>
      </c>
      <c r="M19" s="34">
        <v>13929.989999999998</v>
      </c>
      <c r="N19" s="34">
        <v>13929.989999999998</v>
      </c>
      <c r="O19" s="34">
        <f t="shared" si="1"/>
        <v>14735.386919999997</v>
      </c>
      <c r="P19" s="34">
        <f t="shared" si="2"/>
        <v>15383.743944479998</v>
      </c>
      <c r="Q19" s="34">
        <f t="shared" si="3"/>
        <v>16076.012421981597</v>
      </c>
      <c r="S19" s="145">
        <f>'[1]6119BUDGET'!$N$15</f>
        <v>14735.386919999997</v>
      </c>
    </row>
    <row r="20" spans="1:19" x14ac:dyDescent="0.25">
      <c r="A20" s="31" t="s">
        <v>1963</v>
      </c>
      <c r="B20" s="31" t="s">
        <v>11</v>
      </c>
      <c r="C20" s="31" t="s">
        <v>12</v>
      </c>
      <c r="D20" s="31" t="s">
        <v>156</v>
      </c>
      <c r="E20" s="31" t="s">
        <v>702</v>
      </c>
      <c r="F20" s="31" t="s">
        <v>37</v>
      </c>
      <c r="G20" s="31" t="s">
        <v>16</v>
      </c>
      <c r="H20" s="31" t="s">
        <v>560</v>
      </c>
      <c r="I20" s="32" t="s">
        <v>38</v>
      </c>
      <c r="J20" s="32">
        <v>1</v>
      </c>
      <c r="K20" s="32"/>
      <c r="L20" s="34">
        <v>12141.251879999998</v>
      </c>
      <c r="M20" s="34">
        <v>11574.119999999999</v>
      </c>
      <c r="N20" s="34">
        <v>11574.119999999999</v>
      </c>
      <c r="O20" s="34">
        <f t="shared" si="1"/>
        <v>12141.251879999998</v>
      </c>
      <c r="P20" s="34">
        <f t="shared" si="2"/>
        <v>12675.466962719998</v>
      </c>
      <c r="Q20" s="34">
        <f t="shared" si="3"/>
        <v>13245.862976042397</v>
      </c>
      <c r="S20" s="145">
        <f>'[1]6119BUDGET'!$P$15</f>
        <v>12141.251879999998</v>
      </c>
    </row>
    <row r="21" spans="1:19" x14ac:dyDescent="0.25">
      <c r="A21" s="52" t="s">
        <v>1964</v>
      </c>
      <c r="B21" s="31" t="s">
        <v>11</v>
      </c>
      <c r="C21" s="31" t="s">
        <v>12</v>
      </c>
      <c r="D21" s="31" t="s">
        <v>151</v>
      </c>
      <c r="E21" s="31" t="s">
        <v>695</v>
      </c>
      <c r="F21" s="31" t="s">
        <v>15</v>
      </c>
      <c r="G21" s="31" t="s">
        <v>16</v>
      </c>
      <c r="H21" s="31" t="s">
        <v>560</v>
      </c>
      <c r="I21" s="32" t="s">
        <v>18</v>
      </c>
      <c r="J21" s="32">
        <v>3</v>
      </c>
      <c r="K21" s="32"/>
      <c r="L21" s="34">
        <v>475.20000000000005</v>
      </c>
      <c r="M21" s="34">
        <v>339.9</v>
      </c>
      <c r="N21" s="34">
        <v>339.9</v>
      </c>
      <c r="O21" s="34">
        <f t="shared" si="1"/>
        <v>494.40000000000003</v>
      </c>
      <c r="P21" s="34">
        <f t="shared" si="2"/>
        <v>516.1536000000001</v>
      </c>
      <c r="Q21" s="34">
        <f t="shared" si="3"/>
        <v>539.38051200000007</v>
      </c>
      <c r="S21" s="145">
        <f>'[1]6119BUDGET'!$R$3+'[1]6119BUDGET'!$R$4+'[1]6119BUDGET'!$R$5+'[1]6119BUDGET'!$R$13</f>
        <v>494.40000000000003</v>
      </c>
    </row>
    <row r="22" spans="1:19" x14ac:dyDescent="0.25">
      <c r="A22" s="50" t="s">
        <v>2041</v>
      </c>
      <c r="B22" s="31"/>
      <c r="C22" s="31"/>
      <c r="D22" s="31" t="s">
        <v>151</v>
      </c>
      <c r="E22" s="31"/>
      <c r="F22" s="31"/>
      <c r="G22" s="31"/>
      <c r="H22" s="31"/>
      <c r="I22" s="32"/>
      <c r="J22" s="32"/>
      <c r="K22" s="32"/>
      <c r="L22" s="34">
        <v>831.59999999999991</v>
      </c>
      <c r="M22" s="34">
        <v>0</v>
      </c>
      <c r="N22" s="34">
        <v>0</v>
      </c>
      <c r="O22" s="34">
        <f t="shared" si="1"/>
        <v>865.19999999999982</v>
      </c>
      <c r="P22" s="34">
        <f t="shared" si="2"/>
        <v>903.26879999999983</v>
      </c>
      <c r="Q22" s="34">
        <f t="shared" si="3"/>
        <v>943.91589599999975</v>
      </c>
      <c r="S22" s="145">
        <f>'[1]6119BUDGET'!$R$15-S21</f>
        <v>865.19999999999982</v>
      </c>
    </row>
    <row r="23" spans="1:19" x14ac:dyDescent="0.25">
      <c r="A23" s="31" t="s">
        <v>1965</v>
      </c>
      <c r="B23" s="31" t="s">
        <v>11</v>
      </c>
      <c r="C23" s="31" t="s">
        <v>12</v>
      </c>
      <c r="D23" s="31" t="s">
        <v>155</v>
      </c>
      <c r="E23" s="31" t="s">
        <v>702</v>
      </c>
      <c r="F23" s="31" t="s">
        <v>37</v>
      </c>
      <c r="G23" s="31" t="s">
        <v>16</v>
      </c>
      <c r="H23" s="31" t="s">
        <v>560</v>
      </c>
      <c r="I23" s="32" t="s">
        <v>38</v>
      </c>
      <c r="J23" s="32">
        <v>1</v>
      </c>
      <c r="K23" s="32"/>
      <c r="L23" s="34">
        <v>0</v>
      </c>
      <c r="M23" s="34">
        <v>0</v>
      </c>
      <c r="N23" s="34">
        <v>0</v>
      </c>
      <c r="O23" s="34">
        <f t="shared" si="1"/>
        <v>19983.169999999998</v>
      </c>
      <c r="P23" s="34">
        <f t="shared" si="2"/>
        <v>20862.429479999999</v>
      </c>
      <c r="Q23" s="34">
        <f t="shared" si="3"/>
        <v>21801.238806599998</v>
      </c>
      <c r="S23" s="145">
        <f>'[2]6119BUDGET'!$J$15</f>
        <v>19983.169999999998</v>
      </c>
    </row>
    <row r="24" spans="1:19" x14ac:dyDescent="0.25">
      <c r="A24" s="31" t="s">
        <v>1966</v>
      </c>
      <c r="B24" s="31" t="s">
        <v>11</v>
      </c>
      <c r="C24" s="31" t="s">
        <v>12</v>
      </c>
      <c r="D24" s="31" t="s">
        <v>43</v>
      </c>
      <c r="E24" s="31" t="s">
        <v>695</v>
      </c>
      <c r="F24" s="31" t="s">
        <v>15</v>
      </c>
      <c r="G24" s="31" t="s">
        <v>16</v>
      </c>
      <c r="H24" s="31" t="s">
        <v>560</v>
      </c>
      <c r="I24" s="32" t="s">
        <v>18</v>
      </c>
      <c r="J24" s="32">
        <v>3</v>
      </c>
      <c r="K24" s="32"/>
      <c r="L24" s="34">
        <v>5989.44</v>
      </c>
      <c r="M24" s="34">
        <v>7740.2850999999991</v>
      </c>
      <c r="N24" s="34">
        <v>7740.2850999999991</v>
      </c>
      <c r="O24" s="34">
        <f t="shared" si="1"/>
        <v>5989.44</v>
      </c>
      <c r="P24" s="34">
        <f t="shared" si="2"/>
        <v>6252.9753599999995</v>
      </c>
      <c r="Q24" s="34">
        <f t="shared" si="3"/>
        <v>6534.3592511999987</v>
      </c>
      <c r="S24" s="145">
        <f>'[1]6119BUDGET'!$T$3+'[1]6119BUDGET'!$T$4+'[1]6119BUDGET'!$T$5+'[1]6119BUDGET'!$T$13</f>
        <v>5989.44</v>
      </c>
    </row>
    <row r="25" spans="1:19" x14ac:dyDescent="0.25">
      <c r="A25" s="31" t="s">
        <v>1967</v>
      </c>
      <c r="B25" s="31" t="s">
        <v>11</v>
      </c>
      <c r="C25" s="31" t="s">
        <v>203</v>
      </c>
      <c r="D25" s="31" t="s">
        <v>43</v>
      </c>
      <c r="E25" s="31" t="s">
        <v>702</v>
      </c>
      <c r="F25" s="31" t="s">
        <v>37</v>
      </c>
      <c r="G25" s="31" t="s">
        <v>16</v>
      </c>
      <c r="H25" s="31" t="s">
        <v>560</v>
      </c>
      <c r="I25" s="32" t="s">
        <v>38</v>
      </c>
      <c r="J25" s="32">
        <v>1</v>
      </c>
      <c r="K25" s="32"/>
      <c r="L25" s="34">
        <v>7342.9706279999991</v>
      </c>
      <c r="M25" s="34">
        <v>5781.5653999999995</v>
      </c>
      <c r="N25" s="34">
        <v>5781.5653999999995</v>
      </c>
      <c r="O25" s="34">
        <f t="shared" si="1"/>
        <v>6999.9971999999989</v>
      </c>
      <c r="P25" s="34">
        <f t="shared" si="2"/>
        <v>7307.9970767999994</v>
      </c>
      <c r="Q25" s="34">
        <f t="shared" si="3"/>
        <v>7636.8569452559987</v>
      </c>
      <c r="S25" s="145">
        <f>'[1]6119BUDGET'!$T$15-S24</f>
        <v>6999.9971999999989</v>
      </c>
    </row>
    <row r="26" spans="1:19" hidden="1" x14ac:dyDescent="0.25">
      <c r="A26" s="31" t="s">
        <v>1968</v>
      </c>
      <c r="B26" s="31" t="s">
        <v>11</v>
      </c>
      <c r="C26" s="31" t="s">
        <v>203</v>
      </c>
      <c r="D26" s="31" t="s">
        <v>162</v>
      </c>
      <c r="E26" s="31" t="s">
        <v>702</v>
      </c>
      <c r="F26" s="31" t="s">
        <v>37</v>
      </c>
      <c r="G26" s="31" t="s">
        <v>16</v>
      </c>
      <c r="H26" s="31" t="s">
        <v>560</v>
      </c>
      <c r="I26" s="32" t="s">
        <v>38</v>
      </c>
      <c r="J26" s="32">
        <v>1</v>
      </c>
      <c r="K26" s="32"/>
      <c r="M26" s="34">
        <v>0</v>
      </c>
      <c r="N26" s="34">
        <v>0</v>
      </c>
      <c r="O26" s="34">
        <f t="shared" si="1"/>
        <v>0</v>
      </c>
      <c r="P26" s="34">
        <f t="shared" si="2"/>
        <v>0</v>
      </c>
      <c r="Q26" s="34">
        <f t="shared" si="3"/>
        <v>0</v>
      </c>
      <c r="S26" s="145"/>
    </row>
    <row r="27" spans="1:19" x14ac:dyDescent="0.25">
      <c r="A27" s="31"/>
      <c r="B27" s="31"/>
      <c r="C27" s="31"/>
      <c r="D27" s="31"/>
      <c r="E27" s="31"/>
      <c r="F27" s="31"/>
      <c r="G27" s="31"/>
      <c r="H27" s="31"/>
      <c r="I27" s="32"/>
      <c r="J27" s="32"/>
      <c r="K27" s="32"/>
      <c r="M27" s="34"/>
      <c r="N27" s="34"/>
      <c r="O27" s="34"/>
      <c r="P27" s="34"/>
      <c r="Q27" s="34"/>
      <c r="S27" s="145"/>
    </row>
    <row r="28" spans="1:19" x14ac:dyDescent="0.25">
      <c r="A28" s="31" t="s">
        <v>1969</v>
      </c>
      <c r="B28" s="31" t="s">
        <v>11</v>
      </c>
      <c r="C28" s="31" t="s">
        <v>203</v>
      </c>
      <c r="D28" s="31" t="s">
        <v>204</v>
      </c>
      <c r="E28" s="31" t="s">
        <v>702</v>
      </c>
      <c r="F28" s="31" t="s">
        <v>37</v>
      </c>
      <c r="G28" s="31" t="s">
        <v>16</v>
      </c>
      <c r="H28" s="31" t="s">
        <v>560</v>
      </c>
      <c r="I28" s="32" t="s">
        <v>38</v>
      </c>
      <c r="J28" s="32">
        <v>1</v>
      </c>
      <c r="K28" s="32"/>
      <c r="L28" s="34">
        <v>19407.742855199998</v>
      </c>
      <c r="M28" s="34">
        <v>10792.841900000001</v>
      </c>
      <c r="N28" s="34">
        <v>10792.841900000001</v>
      </c>
      <c r="O28" s="34">
        <f t="shared" si="1"/>
        <v>6999.9971999999943</v>
      </c>
      <c r="P28" s="34">
        <f t="shared" si="2"/>
        <v>7307.9970767999939</v>
      </c>
      <c r="Q28" s="34">
        <f t="shared" si="3"/>
        <v>7636.8569452559932</v>
      </c>
      <c r="S28" s="145">
        <f>'[1]6119BUDGET'!$Q$15-S29</f>
        <v>6999.9971999999943</v>
      </c>
    </row>
    <row r="29" spans="1:19" x14ac:dyDescent="0.25">
      <c r="A29" s="31" t="s">
        <v>1970</v>
      </c>
      <c r="B29" s="31" t="s">
        <v>11</v>
      </c>
      <c r="C29" s="31" t="s">
        <v>12</v>
      </c>
      <c r="D29" s="31" t="s">
        <v>2101</v>
      </c>
      <c r="E29" s="31" t="s">
        <v>695</v>
      </c>
      <c r="F29" s="31" t="s">
        <v>15</v>
      </c>
      <c r="G29" s="31" t="s">
        <v>16</v>
      </c>
      <c r="H29" s="31" t="s">
        <v>560</v>
      </c>
      <c r="I29" s="32" t="s">
        <v>18</v>
      </c>
      <c r="J29" s="32">
        <v>3</v>
      </c>
      <c r="K29" s="32"/>
      <c r="L29" s="34">
        <v>7342.9706279999991</v>
      </c>
      <c r="M29" s="34">
        <v>11340.895399999999</v>
      </c>
      <c r="N29" s="34">
        <v>11340.895399999999</v>
      </c>
      <c r="O29" s="34">
        <f t="shared" si="1"/>
        <v>20387.014985999998</v>
      </c>
      <c r="P29" s="34">
        <f t="shared" si="2"/>
        <v>21284.043645383998</v>
      </c>
      <c r="Q29" s="34">
        <f t="shared" si="3"/>
        <v>22241.825609426276</v>
      </c>
      <c r="S29" s="145">
        <f>'[1]6119BUDGET'!$Q$3+'[1]6119BUDGET'!$Q$4+'[1]6119BUDGET'!$Q$5+'[1]6119BUDGET'!$Q$13</f>
        <v>20387.014985999998</v>
      </c>
    </row>
    <row r="30" spans="1:19" s="107" customFormat="1" x14ac:dyDescent="0.25">
      <c r="A30" s="52" t="s">
        <v>1971</v>
      </c>
      <c r="B30" s="52" t="s">
        <v>11</v>
      </c>
      <c r="C30" s="52" t="s">
        <v>12</v>
      </c>
      <c r="D30" s="52" t="s">
        <v>708</v>
      </c>
      <c r="E30" s="52" t="s">
        <v>695</v>
      </c>
      <c r="F30" s="52" t="s">
        <v>15</v>
      </c>
      <c r="G30" s="52" t="s">
        <v>16</v>
      </c>
      <c r="H30" s="52" t="s">
        <v>560</v>
      </c>
      <c r="I30" s="104" t="s">
        <v>18</v>
      </c>
      <c r="J30" s="104">
        <v>3</v>
      </c>
      <c r="K30" s="104"/>
      <c r="L30" s="105">
        <v>5500000</v>
      </c>
      <c r="M30" s="105">
        <v>5500000</v>
      </c>
      <c r="N30" s="105">
        <v>5500000</v>
      </c>
      <c r="O30" s="105">
        <v>5550000</v>
      </c>
      <c r="P30" s="105">
        <v>5600000</v>
      </c>
      <c r="Q30" s="105">
        <v>5700000</v>
      </c>
      <c r="S30" s="106"/>
    </row>
    <row r="31" spans="1:19" hidden="1" x14ac:dyDescent="0.25">
      <c r="A31" s="31" t="s">
        <v>1972</v>
      </c>
      <c r="B31" s="31" t="s">
        <v>11</v>
      </c>
      <c r="C31" s="31" t="s">
        <v>12</v>
      </c>
      <c r="D31" s="31" t="s">
        <v>20</v>
      </c>
      <c r="E31" s="31" t="s">
        <v>702</v>
      </c>
      <c r="F31" s="31" t="s">
        <v>37</v>
      </c>
      <c r="G31" s="31" t="s">
        <v>16</v>
      </c>
      <c r="H31" s="31" t="s">
        <v>560</v>
      </c>
      <c r="I31" s="32" t="s">
        <v>38</v>
      </c>
      <c r="J31" s="32">
        <v>1</v>
      </c>
      <c r="K31" s="32"/>
      <c r="L31" s="43"/>
      <c r="M31" s="43"/>
      <c r="N31" s="43"/>
      <c r="O31" s="43"/>
      <c r="P31" s="43"/>
      <c r="Q31" s="43"/>
    </row>
    <row r="32" spans="1:19" x14ac:dyDescent="0.25">
      <c r="A32" s="31" t="s">
        <v>1973</v>
      </c>
      <c r="B32" s="31" t="s">
        <v>11</v>
      </c>
      <c r="C32" s="31" t="s">
        <v>228</v>
      </c>
      <c r="D32" s="31" t="s">
        <v>20</v>
      </c>
      <c r="E32" s="31" t="s">
        <v>695</v>
      </c>
      <c r="F32" s="31" t="s">
        <v>15</v>
      </c>
      <c r="G32" s="31" t="s">
        <v>16</v>
      </c>
      <c r="H32" s="31" t="s">
        <v>560</v>
      </c>
      <c r="I32" s="32" t="s">
        <v>18</v>
      </c>
      <c r="J32" s="32">
        <v>3</v>
      </c>
      <c r="K32" s="32"/>
      <c r="L32" s="43">
        <v>2500</v>
      </c>
      <c r="M32" s="43">
        <v>2500</v>
      </c>
      <c r="N32" s="43">
        <v>2500</v>
      </c>
      <c r="O32" s="43">
        <v>2500</v>
      </c>
      <c r="P32" s="43">
        <v>2600</v>
      </c>
      <c r="Q32" s="43">
        <v>2700</v>
      </c>
    </row>
    <row r="33" spans="1:17" hidden="1" x14ac:dyDescent="0.25">
      <c r="A33" s="31" t="s">
        <v>1974</v>
      </c>
      <c r="B33" s="31" t="s">
        <v>11</v>
      </c>
      <c r="C33" s="31" t="s">
        <v>12</v>
      </c>
      <c r="D33" s="31" t="s">
        <v>24</v>
      </c>
      <c r="E33" s="31" t="s">
        <v>702</v>
      </c>
      <c r="F33" s="31" t="s">
        <v>37</v>
      </c>
      <c r="G33" s="31" t="s">
        <v>16</v>
      </c>
      <c r="H33" s="31" t="s">
        <v>560</v>
      </c>
      <c r="I33" s="32" t="s">
        <v>38</v>
      </c>
      <c r="J33" s="32">
        <v>1</v>
      </c>
      <c r="K33" s="32"/>
      <c r="L33" s="43">
        <v>0</v>
      </c>
      <c r="M33" s="43"/>
      <c r="N33" s="43"/>
      <c r="O33" s="43"/>
      <c r="P33" s="43"/>
      <c r="Q33" s="43"/>
    </row>
    <row r="34" spans="1:17" x14ac:dyDescent="0.25">
      <c r="A34" s="31" t="s">
        <v>1975</v>
      </c>
      <c r="B34" s="31" t="s">
        <v>11</v>
      </c>
      <c r="C34" s="31" t="s">
        <v>228</v>
      </c>
      <c r="D34" s="31" t="s">
        <v>24</v>
      </c>
      <c r="E34" s="31" t="s">
        <v>695</v>
      </c>
      <c r="F34" s="31" t="s">
        <v>15</v>
      </c>
      <c r="G34" s="31" t="s">
        <v>16</v>
      </c>
      <c r="H34" s="31" t="s">
        <v>560</v>
      </c>
      <c r="I34" s="32" t="s">
        <v>18</v>
      </c>
      <c r="J34" s="32">
        <v>3</v>
      </c>
      <c r="K34" s="32"/>
      <c r="L34" s="43">
        <v>2500</v>
      </c>
      <c r="M34" s="43">
        <v>2500</v>
      </c>
      <c r="N34" s="43">
        <v>2500</v>
      </c>
      <c r="O34" s="43">
        <v>2500</v>
      </c>
      <c r="P34" s="43">
        <v>2600</v>
      </c>
      <c r="Q34" s="43">
        <v>2700</v>
      </c>
    </row>
    <row r="35" spans="1:17" hidden="1" x14ac:dyDescent="0.25">
      <c r="A35" s="31" t="s">
        <v>1976</v>
      </c>
      <c r="B35" s="31" t="s">
        <v>11</v>
      </c>
      <c r="C35" s="31" t="s">
        <v>12</v>
      </c>
      <c r="D35" s="31" t="s">
        <v>28</v>
      </c>
      <c r="E35" s="31" t="s">
        <v>695</v>
      </c>
      <c r="F35" s="31" t="s">
        <v>15</v>
      </c>
      <c r="G35" s="31" t="s">
        <v>16</v>
      </c>
      <c r="H35" s="31" t="s">
        <v>560</v>
      </c>
      <c r="I35" s="32" t="s">
        <v>18</v>
      </c>
      <c r="J35" s="32">
        <v>3</v>
      </c>
      <c r="K35" s="32"/>
      <c r="L35" s="43">
        <v>0</v>
      </c>
      <c r="M35" s="43"/>
      <c r="N35" s="43"/>
      <c r="O35" s="43"/>
      <c r="P35" s="43"/>
      <c r="Q35" s="43"/>
    </row>
    <row r="36" spans="1:17" x14ac:dyDescent="0.25">
      <c r="A36" s="31" t="s">
        <v>1977</v>
      </c>
      <c r="B36" s="31" t="s">
        <v>11</v>
      </c>
      <c r="C36" s="31" t="s">
        <v>203</v>
      </c>
      <c r="D36" s="31" t="s">
        <v>28</v>
      </c>
      <c r="E36" s="31" t="s">
        <v>702</v>
      </c>
      <c r="F36" s="31" t="s">
        <v>37</v>
      </c>
      <c r="G36" s="31" t="s">
        <v>16</v>
      </c>
      <c r="H36" s="31" t="s">
        <v>560</v>
      </c>
      <c r="I36" s="32" t="s">
        <v>38</v>
      </c>
      <c r="J36" s="32">
        <v>1</v>
      </c>
      <c r="K36" s="32"/>
      <c r="L36" s="43">
        <v>50000</v>
      </c>
      <c r="M36" s="43">
        <v>50000</v>
      </c>
      <c r="N36" s="43">
        <v>50000</v>
      </c>
      <c r="O36" s="43">
        <v>60000</v>
      </c>
      <c r="P36" s="43">
        <v>61000</v>
      </c>
      <c r="Q36" s="43">
        <v>70000</v>
      </c>
    </row>
    <row r="37" spans="1:17" hidden="1" x14ac:dyDescent="0.25">
      <c r="A37" s="31" t="s">
        <v>713</v>
      </c>
      <c r="B37" s="31" t="s">
        <v>11</v>
      </c>
      <c r="C37" s="31" t="s">
        <v>89</v>
      </c>
      <c r="D37" s="31" t="s">
        <v>565</v>
      </c>
      <c r="E37" s="31" t="s">
        <v>714</v>
      </c>
      <c r="F37" s="31" t="s">
        <v>15</v>
      </c>
      <c r="G37" s="31" t="s">
        <v>16</v>
      </c>
      <c r="H37" s="31" t="s">
        <v>715</v>
      </c>
      <c r="I37" s="32" t="s">
        <v>18</v>
      </c>
      <c r="J37" s="32">
        <v>3</v>
      </c>
      <c r="K37" s="32"/>
      <c r="L37" s="43"/>
      <c r="M37" s="43"/>
      <c r="N37" s="43"/>
      <c r="O37" s="43"/>
      <c r="P37" s="43"/>
      <c r="Q37" s="43"/>
    </row>
    <row r="38" spans="1:17" x14ac:dyDescent="0.25">
      <c r="A38" s="31" t="s">
        <v>1978</v>
      </c>
      <c r="B38" s="31" t="s">
        <v>11</v>
      </c>
      <c r="C38" s="31" t="s">
        <v>12</v>
      </c>
      <c r="D38" s="31" t="s">
        <v>238</v>
      </c>
      <c r="E38" s="31" t="s">
        <v>702</v>
      </c>
      <c r="F38" s="31" t="s">
        <v>37</v>
      </c>
      <c r="G38" s="31" t="s">
        <v>16</v>
      </c>
      <c r="H38" s="31" t="s">
        <v>560</v>
      </c>
      <c r="I38" s="32" t="s">
        <v>38</v>
      </c>
      <c r="J38" s="32">
        <v>1</v>
      </c>
      <c r="K38" s="32"/>
      <c r="L38" s="43">
        <v>3000000</v>
      </c>
      <c r="M38" s="43">
        <v>3000000</v>
      </c>
      <c r="N38" s="43">
        <v>3000000</v>
      </c>
      <c r="O38" s="43">
        <v>3000000</v>
      </c>
      <c r="P38" s="43">
        <v>3000000</v>
      </c>
      <c r="Q38" s="43">
        <v>3000000</v>
      </c>
    </row>
    <row r="39" spans="1:17" x14ac:dyDescent="0.25">
      <c r="A39" s="31" t="s">
        <v>1979</v>
      </c>
      <c r="B39" s="31" t="s">
        <v>11</v>
      </c>
      <c r="C39" s="31" t="s">
        <v>203</v>
      </c>
      <c r="D39" s="31" t="s">
        <v>238</v>
      </c>
      <c r="E39" s="31" t="s">
        <v>702</v>
      </c>
      <c r="F39" s="31" t="s">
        <v>37</v>
      </c>
      <c r="G39" s="31" t="s">
        <v>16</v>
      </c>
      <c r="H39" s="31" t="s">
        <v>560</v>
      </c>
      <c r="I39" s="32" t="s">
        <v>38</v>
      </c>
      <c r="J39" s="32">
        <v>1</v>
      </c>
      <c r="K39" s="32"/>
      <c r="L39" s="43">
        <v>300000</v>
      </c>
      <c r="M39" s="43">
        <v>300000</v>
      </c>
      <c r="N39" s="43">
        <v>300000</v>
      </c>
      <c r="O39" s="43">
        <v>300000</v>
      </c>
      <c r="P39" s="43">
        <v>300000</v>
      </c>
      <c r="Q39" s="43">
        <v>300000</v>
      </c>
    </row>
    <row r="40" spans="1:17" x14ac:dyDescent="0.25">
      <c r="A40" s="31" t="s">
        <v>1980</v>
      </c>
      <c r="B40" s="31" t="s">
        <v>11</v>
      </c>
      <c r="C40" s="31" t="s">
        <v>12</v>
      </c>
      <c r="D40" s="31" t="s">
        <v>13</v>
      </c>
      <c r="E40" s="31" t="s">
        <v>702</v>
      </c>
      <c r="F40" s="31" t="s">
        <v>37</v>
      </c>
      <c r="G40" s="31" t="s">
        <v>16</v>
      </c>
      <c r="H40" s="31" t="s">
        <v>560</v>
      </c>
      <c r="I40" s="32" t="s">
        <v>38</v>
      </c>
      <c r="J40" s="32">
        <v>1</v>
      </c>
      <c r="K40" s="32"/>
      <c r="L40" s="43">
        <v>10000</v>
      </c>
      <c r="M40" s="43">
        <v>10000</v>
      </c>
      <c r="N40" s="43">
        <v>10000</v>
      </c>
      <c r="O40" s="43">
        <v>10000</v>
      </c>
      <c r="P40" s="43">
        <v>12000</v>
      </c>
      <c r="Q40" s="43">
        <v>13000</v>
      </c>
    </row>
    <row r="41" spans="1:17" x14ac:dyDescent="0.25">
      <c r="A41" s="31" t="s">
        <v>1981</v>
      </c>
      <c r="B41" s="31" t="s">
        <v>11</v>
      </c>
      <c r="C41" s="31" t="s">
        <v>228</v>
      </c>
      <c r="D41" s="31" t="s">
        <v>13</v>
      </c>
      <c r="E41" s="31" t="s">
        <v>695</v>
      </c>
      <c r="F41" s="31" t="s">
        <v>15</v>
      </c>
      <c r="G41" s="31" t="s">
        <v>16</v>
      </c>
      <c r="H41" s="31" t="s">
        <v>560</v>
      </c>
      <c r="I41" s="32" t="s">
        <v>18</v>
      </c>
      <c r="J41" s="32">
        <v>3</v>
      </c>
      <c r="K41" s="32"/>
      <c r="L41" s="43">
        <v>25000</v>
      </c>
      <c r="M41" s="43">
        <v>20000</v>
      </c>
      <c r="N41" s="43">
        <v>20000</v>
      </c>
      <c r="O41" s="43">
        <v>20000</v>
      </c>
      <c r="P41" s="43">
        <v>21000</v>
      </c>
      <c r="Q41" s="43">
        <v>22000</v>
      </c>
    </row>
    <row r="42" spans="1:17" hidden="1" x14ac:dyDescent="0.25">
      <c r="A42" s="31" t="s">
        <v>1982</v>
      </c>
      <c r="B42" s="31" t="s">
        <v>11</v>
      </c>
      <c r="C42" s="31" t="s">
        <v>12</v>
      </c>
      <c r="D42" s="31" t="s">
        <v>32</v>
      </c>
      <c r="E42" s="31" t="s">
        <v>702</v>
      </c>
      <c r="F42" s="31" t="s">
        <v>37</v>
      </c>
      <c r="G42" s="31" t="s">
        <v>16</v>
      </c>
      <c r="H42" s="31" t="s">
        <v>560</v>
      </c>
      <c r="I42" s="32" t="s">
        <v>38</v>
      </c>
      <c r="J42" s="32">
        <v>1</v>
      </c>
      <c r="K42" s="32"/>
      <c r="L42" s="43">
        <v>0</v>
      </c>
      <c r="M42" s="43"/>
      <c r="N42" s="43"/>
      <c r="O42" s="43"/>
      <c r="P42" s="43"/>
      <c r="Q42" s="43"/>
    </row>
    <row r="43" spans="1:17" x14ac:dyDescent="0.25">
      <c r="A43" s="31" t="s">
        <v>1983</v>
      </c>
      <c r="B43" s="31" t="s">
        <v>11</v>
      </c>
      <c r="C43" s="31" t="s">
        <v>228</v>
      </c>
      <c r="D43" s="31" t="s">
        <v>32</v>
      </c>
      <c r="E43" s="31" t="s">
        <v>695</v>
      </c>
      <c r="F43" s="31" t="s">
        <v>15</v>
      </c>
      <c r="G43" s="31" t="s">
        <v>16</v>
      </c>
      <c r="H43" s="31" t="s">
        <v>560</v>
      </c>
      <c r="I43" s="32" t="s">
        <v>18</v>
      </c>
      <c r="J43" s="32">
        <v>3</v>
      </c>
      <c r="K43" s="32"/>
      <c r="L43" s="43">
        <v>4000</v>
      </c>
      <c r="M43" s="43">
        <v>0</v>
      </c>
      <c r="N43" s="43">
        <v>0</v>
      </c>
      <c r="O43" s="43">
        <v>4000</v>
      </c>
      <c r="P43" s="43">
        <v>4500</v>
      </c>
      <c r="Q43" s="43">
        <v>5000</v>
      </c>
    </row>
    <row r="44" spans="1:17" hidden="1" x14ac:dyDescent="0.25">
      <c r="A44" s="31" t="s">
        <v>1984</v>
      </c>
      <c r="B44" s="31" t="s">
        <v>11</v>
      </c>
      <c r="C44" s="31" t="s">
        <v>12</v>
      </c>
      <c r="D44" s="31" t="s">
        <v>147</v>
      </c>
      <c r="E44" s="31" t="s">
        <v>702</v>
      </c>
      <c r="F44" s="31" t="s">
        <v>37</v>
      </c>
      <c r="G44" s="31" t="s">
        <v>16</v>
      </c>
      <c r="H44" s="31" t="s">
        <v>560</v>
      </c>
      <c r="I44" s="32" t="s">
        <v>38</v>
      </c>
      <c r="J44" s="32">
        <v>1</v>
      </c>
      <c r="K44" s="32"/>
      <c r="L44" s="43">
        <v>0</v>
      </c>
      <c r="M44" s="43"/>
      <c r="N44" s="43"/>
      <c r="O44" s="43"/>
      <c r="P44" s="43"/>
      <c r="Q44" s="43"/>
    </row>
    <row r="45" spans="1:17" x14ac:dyDescent="0.25">
      <c r="A45" s="31" t="s">
        <v>1985</v>
      </c>
      <c r="B45" s="31" t="s">
        <v>11</v>
      </c>
      <c r="C45" s="31" t="s">
        <v>228</v>
      </c>
      <c r="D45" s="31" t="s">
        <v>22</v>
      </c>
      <c r="E45" s="31" t="s">
        <v>695</v>
      </c>
      <c r="F45" s="31" t="s">
        <v>15</v>
      </c>
      <c r="G45" s="31" t="s">
        <v>16</v>
      </c>
      <c r="H45" s="31" t="s">
        <v>560</v>
      </c>
      <c r="I45" s="32" t="s">
        <v>18</v>
      </c>
      <c r="J45" s="32">
        <v>3</v>
      </c>
      <c r="K45" s="32"/>
      <c r="L45" s="43">
        <v>10000</v>
      </c>
      <c r="M45" s="43">
        <v>10000</v>
      </c>
      <c r="N45" s="43">
        <v>10000</v>
      </c>
      <c r="O45" s="43">
        <v>10000</v>
      </c>
      <c r="P45" s="43">
        <v>10000</v>
      </c>
      <c r="Q45" s="43">
        <v>11000</v>
      </c>
    </row>
    <row r="46" spans="1:17" hidden="1" x14ac:dyDescent="0.25">
      <c r="A46" s="31" t="s">
        <v>1986</v>
      </c>
      <c r="B46" s="31" t="s">
        <v>11</v>
      </c>
      <c r="C46" s="31" t="s">
        <v>12</v>
      </c>
      <c r="D46" s="31" t="s">
        <v>26</v>
      </c>
      <c r="E46" s="31" t="s">
        <v>695</v>
      </c>
      <c r="F46" s="31" t="s">
        <v>15</v>
      </c>
      <c r="G46" s="31" t="s">
        <v>16</v>
      </c>
      <c r="H46" s="31" t="s">
        <v>560</v>
      </c>
      <c r="I46" s="32" t="s">
        <v>18</v>
      </c>
      <c r="J46" s="32">
        <v>3</v>
      </c>
      <c r="K46" s="32"/>
      <c r="L46" s="43"/>
      <c r="M46" s="43"/>
      <c r="N46" s="43"/>
      <c r="O46" s="43"/>
      <c r="P46" s="43"/>
      <c r="Q46" s="43"/>
    </row>
    <row r="47" spans="1:17" x14ac:dyDescent="0.25">
      <c r="A47" s="31" t="s">
        <v>1987</v>
      </c>
      <c r="B47" s="31" t="s">
        <v>11</v>
      </c>
      <c r="C47" s="31" t="s">
        <v>203</v>
      </c>
      <c r="D47" s="31" t="s">
        <v>26</v>
      </c>
      <c r="E47" s="31" t="s">
        <v>702</v>
      </c>
      <c r="F47" s="31" t="s">
        <v>37</v>
      </c>
      <c r="G47" s="31" t="s">
        <v>16</v>
      </c>
      <c r="H47" s="31" t="s">
        <v>560</v>
      </c>
      <c r="I47" s="32" t="s">
        <v>38</v>
      </c>
      <c r="J47" s="32">
        <v>1</v>
      </c>
      <c r="K47" s="32"/>
      <c r="L47" s="43">
        <v>3000</v>
      </c>
      <c r="M47" s="43">
        <v>0</v>
      </c>
      <c r="N47" s="43">
        <v>0</v>
      </c>
      <c r="O47" s="43">
        <v>3000</v>
      </c>
      <c r="P47" s="43">
        <v>3300</v>
      </c>
      <c r="Q47" s="43">
        <v>3600</v>
      </c>
    </row>
    <row r="48" spans="1:17" hidden="1" x14ac:dyDescent="0.25">
      <c r="A48" s="31" t="s">
        <v>712</v>
      </c>
      <c r="B48" s="31" t="s">
        <v>11</v>
      </c>
      <c r="C48" s="31" t="s">
        <v>89</v>
      </c>
      <c r="D48" s="31" t="s">
        <v>150</v>
      </c>
      <c r="E48" s="31" t="s">
        <v>251</v>
      </c>
      <c r="F48" s="31" t="s">
        <v>37</v>
      </c>
      <c r="G48" s="31" t="s">
        <v>16</v>
      </c>
      <c r="H48" s="31" t="s">
        <v>284</v>
      </c>
      <c r="I48" s="32" t="s">
        <v>38</v>
      </c>
      <c r="J48" s="32">
        <v>1</v>
      </c>
      <c r="K48" s="32"/>
    </row>
    <row r="49" spans="1:17" hidden="1" x14ac:dyDescent="0.25">
      <c r="A49" s="31" t="s">
        <v>1988</v>
      </c>
      <c r="B49" s="31" t="s">
        <v>290</v>
      </c>
      <c r="C49" s="31" t="s">
        <v>547</v>
      </c>
      <c r="D49" s="31" t="s">
        <v>729</v>
      </c>
      <c r="E49" s="31" t="s">
        <v>702</v>
      </c>
      <c r="F49" s="31" t="s">
        <v>295</v>
      </c>
      <c r="G49" s="31" t="s">
        <v>16</v>
      </c>
      <c r="H49" s="31" t="s">
        <v>560</v>
      </c>
      <c r="I49" s="32" t="s">
        <v>38</v>
      </c>
      <c r="J49" s="32">
        <v>1</v>
      </c>
      <c r="K49" s="32"/>
    </row>
    <row r="51" spans="1:17" ht="15.75" thickBot="1" x14ac:dyDescent="0.3">
      <c r="A51" s="93" t="s">
        <v>1203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1">
        <f>SUM(L10:L50)</f>
        <v>13057254.615145599</v>
      </c>
      <c r="M51" s="91">
        <f t="shared" ref="M51:Q51" si="4">SUM(M10:M50)</f>
        <v>12012979.1096</v>
      </c>
      <c r="N51" s="91">
        <f t="shared" si="4"/>
        <v>12012979.1096</v>
      </c>
      <c r="O51" s="91">
        <f t="shared" si="4"/>
        <v>13178783.822268</v>
      </c>
      <c r="P51" s="91">
        <f t="shared" si="4"/>
        <v>13419322.310447792</v>
      </c>
      <c r="Q51" s="91">
        <f t="shared" si="4"/>
        <v>13730426.814417941</v>
      </c>
    </row>
  </sheetData>
  <sortState xmlns:xlrd2="http://schemas.microsoft.com/office/spreadsheetml/2017/richdata2" ref="A2:Z58">
    <sortCondition ref="D2:D58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V27"/>
  <sheetViews>
    <sheetView topLeftCell="D1" zoomScale="110" zoomScaleNormal="110" workbookViewId="0">
      <pane ySplit="4" topLeftCell="A5" activePane="bottomLeft" state="frozen"/>
      <selection activeCell="F10" sqref="F10"/>
      <selection pane="bottomLeft" activeCell="D2" sqref="D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28" style="35" bestFit="1" customWidth="1"/>
    <col min="5" max="5" width="23.375" style="35" hidden="1" customWidth="1"/>
    <col min="6" max="11" width="9.125" style="35" hidden="1" customWidth="1"/>
    <col min="12" max="12" width="13.25" style="37" bestFit="1" customWidth="1"/>
    <col min="13" max="13" width="13.125" style="35" customWidth="1"/>
    <col min="14" max="17" width="13.1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D1" s="72" t="s">
        <v>1597</v>
      </c>
      <c r="E1" s="72"/>
      <c r="F1" s="72"/>
      <c r="G1" s="72"/>
    </row>
    <row r="2" spans="1:19" ht="15.75" x14ac:dyDescent="0.25">
      <c r="D2" s="19" t="s">
        <v>2342</v>
      </c>
      <c r="E2" s="46"/>
      <c r="F2" s="72"/>
      <c r="G2" s="72"/>
    </row>
    <row r="3" spans="1:19" ht="15.75" x14ac:dyDescent="0.25">
      <c r="D3" s="72" t="s">
        <v>1741</v>
      </c>
      <c r="E3" s="72"/>
      <c r="F3" s="72"/>
      <c r="G3" s="72"/>
    </row>
    <row r="4" spans="1:19" ht="76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790</v>
      </c>
      <c r="B5" s="31" t="s">
        <v>11</v>
      </c>
      <c r="C5" s="31" t="s">
        <v>12</v>
      </c>
      <c r="D5" s="31" t="s">
        <v>157</v>
      </c>
      <c r="E5" s="31" t="s">
        <v>797</v>
      </c>
      <c r="F5" s="31" t="s">
        <v>15</v>
      </c>
      <c r="G5" s="31" t="s">
        <v>16</v>
      </c>
      <c r="H5" s="31" t="s">
        <v>784</v>
      </c>
      <c r="I5" s="32" t="s">
        <v>18</v>
      </c>
      <c r="J5" s="32">
        <v>3</v>
      </c>
      <c r="K5" s="32"/>
      <c r="L5" s="34">
        <v>1355040.2952000001</v>
      </c>
      <c r="M5" s="34">
        <v>1355424.04</v>
      </c>
      <c r="N5" s="34">
        <v>1355424.04</v>
      </c>
      <c r="O5" s="34">
        <f>S5</f>
        <v>1407531.3740400001</v>
      </c>
      <c r="P5" s="34">
        <f>O5*1.044</f>
        <v>1469462.7544977602</v>
      </c>
      <c r="Q5" s="34">
        <f>P5*1.045</f>
        <v>1535588.5784501594</v>
      </c>
      <c r="S5" s="145">
        <f>'[1]6121PAYROLL'!$E$7</f>
        <v>1407531.3740400001</v>
      </c>
    </row>
    <row r="6" spans="1:19" x14ac:dyDescent="0.25">
      <c r="A6" s="31" t="s">
        <v>792</v>
      </c>
      <c r="B6" s="31" t="s">
        <v>11</v>
      </c>
      <c r="C6" s="31" t="s">
        <v>12</v>
      </c>
      <c r="D6" s="31" t="s">
        <v>1638</v>
      </c>
      <c r="E6" s="31" t="s">
        <v>797</v>
      </c>
      <c r="F6" s="31" t="s">
        <v>15</v>
      </c>
      <c r="G6" s="31" t="s">
        <v>16</v>
      </c>
      <c r="H6" s="31" t="s">
        <v>784</v>
      </c>
      <c r="I6" s="32" t="s">
        <v>18</v>
      </c>
      <c r="J6" s="32">
        <v>3</v>
      </c>
      <c r="K6" s="32"/>
      <c r="L6" s="34">
        <v>40000</v>
      </c>
      <c r="M6" s="34">
        <v>20000</v>
      </c>
      <c r="N6" s="34">
        <v>20000</v>
      </c>
      <c r="O6" s="34">
        <v>22000</v>
      </c>
      <c r="P6" s="34">
        <v>23000</v>
      </c>
      <c r="Q6" s="34">
        <v>24000</v>
      </c>
      <c r="S6" s="145"/>
    </row>
    <row r="7" spans="1:19" x14ac:dyDescent="0.25">
      <c r="A7" s="31" t="s">
        <v>2084</v>
      </c>
      <c r="B7" s="31" t="s">
        <v>11</v>
      </c>
      <c r="C7" s="31" t="s">
        <v>12</v>
      </c>
      <c r="D7" s="31" t="s">
        <v>155</v>
      </c>
      <c r="E7" s="31"/>
      <c r="F7" s="31"/>
      <c r="G7" s="31"/>
      <c r="H7" s="31"/>
      <c r="I7" s="32"/>
      <c r="J7" s="32"/>
      <c r="K7" s="32"/>
      <c r="L7" s="34">
        <v>32569.551667200001</v>
      </c>
      <c r="M7" s="34">
        <v>30989.200000000001</v>
      </c>
      <c r="N7" s="34">
        <v>30989.200000000001</v>
      </c>
      <c r="O7" s="34">
        <f t="shared" ref="O7:O17" si="0">S7</f>
        <v>9580.7800000000007</v>
      </c>
      <c r="P7" s="34">
        <f t="shared" ref="P7:P17" si="1">O7*1.044</f>
        <v>10002.334320000002</v>
      </c>
      <c r="Q7" s="34">
        <f t="shared" ref="Q7:Q17" si="2">P7*1.045</f>
        <v>10452.439364400001</v>
      </c>
      <c r="S7" s="145">
        <f>'[2]6121PAYROLL'!$J$7</f>
        <v>9580.7800000000007</v>
      </c>
    </row>
    <row r="8" spans="1:19" x14ac:dyDescent="0.25">
      <c r="A8" s="31" t="s">
        <v>791</v>
      </c>
      <c r="B8" s="31" t="s">
        <v>11</v>
      </c>
      <c r="C8" s="31" t="s">
        <v>12</v>
      </c>
      <c r="D8" s="31" t="s">
        <v>153</v>
      </c>
      <c r="E8" s="31" t="s">
        <v>797</v>
      </c>
      <c r="F8" s="31" t="s">
        <v>15</v>
      </c>
      <c r="G8" s="31" t="s">
        <v>16</v>
      </c>
      <c r="H8" s="31" t="s">
        <v>784</v>
      </c>
      <c r="I8" s="32" t="s">
        <v>18</v>
      </c>
      <c r="J8" s="32">
        <v>3</v>
      </c>
      <c r="K8" s="32"/>
      <c r="L8" s="34">
        <v>112920.0246</v>
      </c>
      <c r="M8" s="34">
        <v>111815.33</v>
      </c>
      <c r="N8" s="34">
        <v>111815.33</v>
      </c>
      <c r="O8" s="34">
        <f t="shared" si="0"/>
        <v>117294.28117</v>
      </c>
      <c r="P8" s="34">
        <f t="shared" si="1"/>
        <v>122455.22954148</v>
      </c>
      <c r="Q8" s="34">
        <f t="shared" si="2"/>
        <v>127965.7148708466</v>
      </c>
      <c r="S8" s="145">
        <f>'[1]6121PAYROLL'!$I$7</f>
        <v>117294.28117</v>
      </c>
    </row>
    <row r="9" spans="1:19" x14ac:dyDescent="0.25">
      <c r="A9" s="31" t="s">
        <v>793</v>
      </c>
      <c r="B9" s="31" t="s">
        <v>11</v>
      </c>
      <c r="C9" s="31" t="s">
        <v>12</v>
      </c>
      <c r="D9" s="31" t="s">
        <v>41</v>
      </c>
      <c r="E9" s="31" t="s">
        <v>797</v>
      </c>
      <c r="F9" s="31" t="s">
        <v>15</v>
      </c>
      <c r="G9" s="31" t="s">
        <v>16</v>
      </c>
      <c r="H9" s="31" t="s">
        <v>784</v>
      </c>
      <c r="I9" s="32" t="s">
        <v>18</v>
      </c>
      <c r="J9" s="32">
        <v>3</v>
      </c>
      <c r="K9" s="32"/>
      <c r="L9" s="34">
        <v>298108.86494399997</v>
      </c>
      <c r="M9" s="34">
        <v>283807.27559999999</v>
      </c>
      <c r="N9" s="34">
        <v>283807.27559999999</v>
      </c>
      <c r="O9" s="34">
        <f t="shared" si="0"/>
        <v>309656.90228880005</v>
      </c>
      <c r="P9" s="34">
        <f t="shared" si="1"/>
        <v>323281.80598950724</v>
      </c>
      <c r="Q9" s="34">
        <f t="shared" si="2"/>
        <v>337829.48725903506</v>
      </c>
      <c r="S9" s="145">
        <f>'[1]6121PAYROLL'!$K$7</f>
        <v>309656.90228880005</v>
      </c>
    </row>
    <row r="10" spans="1:19" x14ac:dyDescent="0.25">
      <c r="A10" s="31" t="s">
        <v>794</v>
      </c>
      <c r="B10" s="31" t="s">
        <v>11</v>
      </c>
      <c r="C10" s="31" t="s">
        <v>12</v>
      </c>
      <c r="D10" s="31" t="s">
        <v>36</v>
      </c>
      <c r="E10" s="31" t="s">
        <v>797</v>
      </c>
      <c r="F10" s="31" t="s">
        <v>15</v>
      </c>
      <c r="G10" s="31" t="s">
        <v>16</v>
      </c>
      <c r="H10" s="31" t="s">
        <v>784</v>
      </c>
      <c r="I10" s="32" t="s">
        <v>18</v>
      </c>
      <c r="J10" s="32">
        <v>3</v>
      </c>
      <c r="K10" s="32"/>
      <c r="L10" s="34">
        <v>129867.84</v>
      </c>
      <c r="M10" s="34">
        <v>129867.84</v>
      </c>
      <c r="N10" s="34">
        <v>129867.84</v>
      </c>
      <c r="O10" s="34">
        <f t="shared" si="0"/>
        <v>129867.84</v>
      </c>
      <c r="P10" s="34">
        <f t="shared" si="1"/>
        <v>135582.02496000001</v>
      </c>
      <c r="Q10" s="34">
        <f t="shared" si="2"/>
        <v>141683.21608320001</v>
      </c>
      <c r="S10" s="145">
        <f>'[1]6121PAYROLL'!$L$7</f>
        <v>129867.84</v>
      </c>
    </row>
    <row r="11" spans="1:19" x14ac:dyDescent="0.25">
      <c r="A11" s="31" t="s">
        <v>1178</v>
      </c>
      <c r="B11" s="31" t="s">
        <v>11</v>
      </c>
      <c r="C11" s="31" t="s">
        <v>12</v>
      </c>
      <c r="D11" s="31" t="s">
        <v>47</v>
      </c>
      <c r="E11" s="31" t="s">
        <v>797</v>
      </c>
      <c r="F11" s="31" t="s">
        <v>15</v>
      </c>
      <c r="G11" s="31" t="s">
        <v>16</v>
      </c>
      <c r="H11" s="31" t="s">
        <v>784</v>
      </c>
      <c r="I11" s="32" t="s">
        <v>18</v>
      </c>
      <c r="J11" s="32">
        <v>3</v>
      </c>
      <c r="K11" s="32"/>
      <c r="L11" s="34">
        <v>176576.16</v>
      </c>
      <c r="M11" s="34">
        <v>183657.75</v>
      </c>
      <c r="N11" s="34">
        <v>183657.75</v>
      </c>
      <c r="O11" s="34">
        <f t="shared" si="0"/>
        <v>191711.33771999998</v>
      </c>
      <c r="P11" s="34">
        <f t="shared" si="1"/>
        <v>200146.63657967999</v>
      </c>
      <c r="Q11" s="34">
        <f t="shared" si="2"/>
        <v>209153.23522576559</v>
      </c>
      <c r="S11" s="145">
        <f>'[1]6121PAYROLL'!$M$7</f>
        <v>191711.33771999998</v>
      </c>
    </row>
    <row r="12" spans="1:19" x14ac:dyDescent="0.25">
      <c r="A12" s="31" t="s">
        <v>787</v>
      </c>
      <c r="B12" s="31" t="s">
        <v>11</v>
      </c>
      <c r="C12" s="31" t="s">
        <v>12</v>
      </c>
      <c r="D12" s="31" t="s">
        <v>45</v>
      </c>
      <c r="E12" s="31" t="s">
        <v>797</v>
      </c>
      <c r="F12" s="31" t="s">
        <v>37</v>
      </c>
      <c r="G12" s="31" t="s">
        <v>16</v>
      </c>
      <c r="H12" s="31" t="s">
        <v>784</v>
      </c>
      <c r="I12" s="32" t="s">
        <v>38</v>
      </c>
      <c r="J12" s="32">
        <v>3</v>
      </c>
      <c r="K12" s="32"/>
      <c r="L12" s="34">
        <v>10863</v>
      </c>
      <c r="M12" s="34">
        <v>11145.869999999999</v>
      </c>
      <c r="N12" s="34">
        <v>11145.869999999999</v>
      </c>
      <c r="O12" s="34">
        <f t="shared" si="0"/>
        <v>11790.927839999998</v>
      </c>
      <c r="P12" s="34">
        <f t="shared" si="1"/>
        <v>12309.728664959999</v>
      </c>
      <c r="Q12" s="34">
        <f t="shared" si="2"/>
        <v>12863.666454883198</v>
      </c>
      <c r="S12" s="145">
        <f>'[1]6121PAYROLL'!$N$7</f>
        <v>11790.927839999998</v>
      </c>
    </row>
    <row r="13" spans="1:19" x14ac:dyDescent="0.25">
      <c r="A13" s="31" t="s">
        <v>1179</v>
      </c>
      <c r="B13" s="31" t="s">
        <v>11</v>
      </c>
      <c r="C13" s="31" t="s">
        <v>12</v>
      </c>
      <c r="D13" s="31" t="s">
        <v>156</v>
      </c>
      <c r="E13" s="31" t="s">
        <v>797</v>
      </c>
      <c r="F13" s="31" t="s">
        <v>15</v>
      </c>
      <c r="G13" s="31" t="s">
        <v>16</v>
      </c>
      <c r="H13" s="31" t="s">
        <v>784</v>
      </c>
      <c r="I13" s="32" t="s">
        <v>18</v>
      </c>
      <c r="J13" s="32">
        <v>3</v>
      </c>
      <c r="K13" s="32"/>
      <c r="L13" s="34">
        <v>12141.251879999998</v>
      </c>
      <c r="M13" s="34">
        <v>11574.119999999999</v>
      </c>
      <c r="N13" s="34">
        <v>11574.119999999999</v>
      </c>
      <c r="O13" s="34">
        <f t="shared" si="0"/>
        <v>12141.251879999998</v>
      </c>
      <c r="P13" s="34">
        <f t="shared" si="1"/>
        <v>12675.466962719998</v>
      </c>
      <c r="Q13" s="34">
        <f t="shared" si="2"/>
        <v>13245.862976042397</v>
      </c>
      <c r="S13" s="145">
        <f>'[1]6121PAYROLL'!$P$7</f>
        <v>12141.251879999998</v>
      </c>
    </row>
    <row r="14" spans="1:19" x14ac:dyDescent="0.25">
      <c r="A14" s="31" t="s">
        <v>1180</v>
      </c>
      <c r="B14" s="31" t="s">
        <v>11</v>
      </c>
      <c r="C14" s="31" t="s">
        <v>12</v>
      </c>
      <c r="D14" s="31" t="s">
        <v>151</v>
      </c>
      <c r="E14" s="31" t="s">
        <v>797</v>
      </c>
      <c r="F14" s="31" t="s">
        <v>15</v>
      </c>
      <c r="G14" s="31" t="s">
        <v>16</v>
      </c>
      <c r="H14" s="31" t="s">
        <v>784</v>
      </c>
      <c r="I14" s="32" t="s">
        <v>18</v>
      </c>
      <c r="J14" s="32">
        <v>3</v>
      </c>
      <c r="K14" s="32"/>
      <c r="L14" s="34">
        <v>475.20000000000005</v>
      </c>
      <c r="M14" s="34">
        <v>494.4</v>
      </c>
      <c r="N14" s="34">
        <v>494.4</v>
      </c>
      <c r="O14" s="34">
        <f t="shared" si="0"/>
        <v>494.40000000000003</v>
      </c>
      <c r="P14" s="34">
        <f t="shared" si="1"/>
        <v>516.1536000000001</v>
      </c>
      <c r="Q14" s="34">
        <f t="shared" si="2"/>
        <v>539.38051200000007</v>
      </c>
      <c r="S14" s="145">
        <f>'[1]6121PAYROLL'!$R$7</f>
        <v>494.40000000000003</v>
      </c>
    </row>
    <row r="15" spans="1:19" x14ac:dyDescent="0.25">
      <c r="A15" s="31" t="s">
        <v>1177</v>
      </c>
      <c r="B15" s="31" t="s">
        <v>11</v>
      </c>
      <c r="C15" s="31" t="s">
        <v>12</v>
      </c>
      <c r="D15" s="31" t="s">
        <v>43</v>
      </c>
      <c r="E15" s="31" t="s">
        <v>797</v>
      </c>
      <c r="F15" s="31" t="s">
        <v>15</v>
      </c>
      <c r="G15" s="31" t="s">
        <v>16</v>
      </c>
      <c r="H15" s="31" t="s">
        <v>784</v>
      </c>
      <c r="I15" s="32" t="s">
        <v>18</v>
      </c>
      <c r="J15" s="32">
        <v>3</v>
      </c>
      <c r="K15" s="32"/>
      <c r="L15" s="34">
        <v>5989.44</v>
      </c>
      <c r="M15" s="34">
        <v>9506.2356</v>
      </c>
      <c r="N15" s="34">
        <v>9506.2356</v>
      </c>
      <c r="O15" s="34">
        <f t="shared" si="0"/>
        <v>5989.44</v>
      </c>
      <c r="P15" s="34">
        <f t="shared" si="1"/>
        <v>6252.9753599999995</v>
      </c>
      <c r="Q15" s="34">
        <f t="shared" si="2"/>
        <v>6534.3592511999987</v>
      </c>
      <c r="S15" s="145">
        <f>'[1]6121PAYROLL'!$T$7</f>
        <v>5989.44</v>
      </c>
    </row>
    <row r="16" spans="1:19" x14ac:dyDescent="0.25">
      <c r="A16" s="31"/>
      <c r="B16" s="31"/>
      <c r="C16" s="31"/>
      <c r="D16" s="31"/>
      <c r="E16" s="31"/>
      <c r="F16" s="31"/>
      <c r="G16" s="31"/>
      <c r="H16" s="31"/>
      <c r="I16" s="32"/>
      <c r="J16" s="32"/>
      <c r="K16" s="32"/>
      <c r="M16" s="34"/>
      <c r="N16" s="34"/>
      <c r="O16" s="34"/>
      <c r="P16" s="34"/>
      <c r="Q16" s="34"/>
      <c r="S16" s="145"/>
    </row>
    <row r="17" spans="1:22" x14ac:dyDescent="0.25">
      <c r="A17" s="31" t="s">
        <v>1181</v>
      </c>
      <c r="B17" s="31" t="s">
        <v>11</v>
      </c>
      <c r="C17" s="31" t="s">
        <v>12</v>
      </c>
      <c r="D17" s="31" t="s">
        <v>30</v>
      </c>
      <c r="E17" s="31" t="s">
        <v>797</v>
      </c>
      <c r="F17" s="31" t="s">
        <v>15</v>
      </c>
      <c r="G17" s="31" t="s">
        <v>16</v>
      </c>
      <c r="H17" s="31" t="s">
        <v>784</v>
      </c>
      <c r="I17" s="32" t="s">
        <v>18</v>
      </c>
      <c r="J17" s="32">
        <v>3</v>
      </c>
      <c r="K17" s="32"/>
      <c r="L17" s="34">
        <v>13550.402952</v>
      </c>
      <c r="M17" s="34">
        <v>14916.389799999999</v>
      </c>
      <c r="N17" s="34">
        <v>14916.389799999999</v>
      </c>
      <c r="O17" s="34">
        <f t="shared" si="0"/>
        <v>14075.313740400001</v>
      </c>
      <c r="P17" s="34">
        <f t="shared" si="1"/>
        <v>14694.627544977602</v>
      </c>
      <c r="Q17" s="34">
        <f t="shared" si="2"/>
        <v>15355.885784501594</v>
      </c>
      <c r="S17" s="145">
        <f>'[1]6121PAYROLL'!$Q$7</f>
        <v>14075.313740400001</v>
      </c>
    </row>
    <row r="18" spans="1:22" x14ac:dyDescent="0.25">
      <c r="A18" s="31" t="s">
        <v>1185</v>
      </c>
      <c r="B18" s="31" t="s">
        <v>11</v>
      </c>
      <c r="C18" s="31" t="s">
        <v>12</v>
      </c>
      <c r="D18" s="31" t="s">
        <v>20</v>
      </c>
      <c r="E18" s="31" t="s">
        <v>797</v>
      </c>
      <c r="F18" s="31" t="s">
        <v>15</v>
      </c>
      <c r="G18" s="31" t="s">
        <v>16</v>
      </c>
      <c r="H18" s="31" t="s">
        <v>784</v>
      </c>
      <c r="I18" s="32" t="s">
        <v>18</v>
      </c>
      <c r="J18" s="32">
        <v>3</v>
      </c>
      <c r="K18" s="32"/>
      <c r="L18" s="43">
        <v>2600</v>
      </c>
      <c r="M18" s="43">
        <v>2600</v>
      </c>
      <c r="N18" s="43">
        <v>2600</v>
      </c>
      <c r="O18" s="43">
        <v>2700</v>
      </c>
      <c r="P18" s="43">
        <v>2800</v>
      </c>
      <c r="Q18" s="43">
        <v>2900</v>
      </c>
      <c r="R18" s="43"/>
      <c r="S18" s="43"/>
      <c r="T18" s="43"/>
      <c r="V18" s="37"/>
    </row>
    <row r="19" spans="1:22" x14ac:dyDescent="0.25">
      <c r="A19" s="31" t="s">
        <v>796</v>
      </c>
      <c r="B19" s="31" t="s">
        <v>11</v>
      </c>
      <c r="C19" s="31" t="s">
        <v>12</v>
      </c>
      <c r="D19" s="31" t="s">
        <v>24</v>
      </c>
      <c r="E19" s="31" t="s">
        <v>797</v>
      </c>
      <c r="F19" s="31" t="s">
        <v>15</v>
      </c>
      <c r="G19" s="31" t="s">
        <v>16</v>
      </c>
      <c r="H19" s="31" t="s">
        <v>784</v>
      </c>
      <c r="I19" s="32" t="s">
        <v>18</v>
      </c>
      <c r="J19" s="32">
        <v>3</v>
      </c>
      <c r="K19" s="32"/>
      <c r="L19" s="43">
        <v>1050</v>
      </c>
      <c r="M19" s="43">
        <v>1050</v>
      </c>
      <c r="N19" s="43">
        <v>1050</v>
      </c>
      <c r="O19" s="43">
        <v>1200</v>
      </c>
      <c r="P19" s="43">
        <v>1300</v>
      </c>
      <c r="Q19" s="43">
        <v>1400</v>
      </c>
      <c r="R19" s="43"/>
      <c r="S19" s="43"/>
      <c r="T19" s="43"/>
      <c r="V19" s="37"/>
    </row>
    <row r="20" spans="1:22" x14ac:dyDescent="0.25">
      <c r="A20" s="31" t="s">
        <v>795</v>
      </c>
      <c r="B20" s="31" t="s">
        <v>11</v>
      </c>
      <c r="C20" s="31" t="s">
        <v>12</v>
      </c>
      <c r="D20" s="31" t="s">
        <v>28</v>
      </c>
      <c r="E20" s="31" t="s">
        <v>797</v>
      </c>
      <c r="F20" s="31" t="s">
        <v>15</v>
      </c>
      <c r="G20" s="31" t="s">
        <v>16</v>
      </c>
      <c r="H20" s="31" t="s">
        <v>784</v>
      </c>
      <c r="I20" s="32" t="s">
        <v>18</v>
      </c>
      <c r="J20" s="32">
        <v>3</v>
      </c>
      <c r="K20" s="32"/>
      <c r="L20" s="43">
        <v>40000</v>
      </c>
      <c r="M20" s="43">
        <v>30000</v>
      </c>
      <c r="N20" s="43">
        <v>30000</v>
      </c>
      <c r="O20" s="43">
        <v>40000</v>
      </c>
      <c r="P20" s="43">
        <v>41500</v>
      </c>
      <c r="Q20" s="43">
        <v>45000</v>
      </c>
      <c r="R20" s="43"/>
      <c r="S20" s="43"/>
      <c r="T20" s="43"/>
      <c r="V20" s="37"/>
    </row>
    <row r="21" spans="1:22" x14ac:dyDescent="0.25">
      <c r="A21" s="31" t="s">
        <v>785</v>
      </c>
      <c r="B21" s="31" t="s">
        <v>11</v>
      </c>
      <c r="C21" s="31" t="s">
        <v>12</v>
      </c>
      <c r="D21" s="31" t="s">
        <v>13</v>
      </c>
      <c r="E21" s="31" t="s">
        <v>797</v>
      </c>
      <c r="F21" s="31" t="s">
        <v>37</v>
      </c>
      <c r="G21" s="31" t="s">
        <v>16</v>
      </c>
      <c r="H21" s="31" t="s">
        <v>784</v>
      </c>
      <c r="I21" s="32" t="s">
        <v>38</v>
      </c>
      <c r="J21" s="32">
        <v>1</v>
      </c>
      <c r="K21" s="32"/>
      <c r="L21" s="43">
        <v>18700</v>
      </c>
      <c r="M21" s="43">
        <v>18700</v>
      </c>
      <c r="N21" s="43">
        <v>18700</v>
      </c>
      <c r="O21" s="43">
        <v>18000</v>
      </c>
      <c r="P21" s="43">
        <v>19000</v>
      </c>
      <c r="Q21" s="43">
        <v>20000</v>
      </c>
      <c r="R21" s="43"/>
      <c r="S21" s="43"/>
      <c r="T21" s="43"/>
      <c r="V21" s="37"/>
    </row>
    <row r="22" spans="1:22" x14ac:dyDescent="0.25">
      <c r="A22" s="31" t="s">
        <v>786</v>
      </c>
      <c r="B22" s="31" t="s">
        <v>11</v>
      </c>
      <c r="C22" s="31" t="s">
        <v>228</v>
      </c>
      <c r="D22" s="31" t="s">
        <v>13</v>
      </c>
      <c r="E22" s="31" t="s">
        <v>797</v>
      </c>
      <c r="F22" s="31" t="s">
        <v>15</v>
      </c>
      <c r="G22" s="31" t="s">
        <v>16</v>
      </c>
      <c r="H22" s="31" t="s">
        <v>784</v>
      </c>
      <c r="I22" s="32" t="s">
        <v>18</v>
      </c>
      <c r="J22" s="32">
        <v>3</v>
      </c>
      <c r="K22" s="32"/>
      <c r="L22" s="43">
        <v>10400</v>
      </c>
      <c r="M22" s="43">
        <v>18000</v>
      </c>
      <c r="N22" s="43">
        <v>18000</v>
      </c>
      <c r="O22" s="43">
        <v>18000</v>
      </c>
      <c r="P22" s="43">
        <v>19000</v>
      </c>
      <c r="Q22" s="43">
        <v>20000</v>
      </c>
      <c r="R22" s="43"/>
      <c r="S22" s="43"/>
      <c r="T22" s="43"/>
      <c r="V22" s="37"/>
    </row>
    <row r="23" spans="1:22" x14ac:dyDescent="0.25">
      <c r="A23" s="31" t="s">
        <v>1184</v>
      </c>
      <c r="B23" s="31" t="s">
        <v>11</v>
      </c>
      <c r="C23" s="31" t="s">
        <v>12</v>
      </c>
      <c r="D23" s="31" t="s">
        <v>22</v>
      </c>
      <c r="E23" s="31" t="s">
        <v>797</v>
      </c>
      <c r="F23" s="31" t="s">
        <v>15</v>
      </c>
      <c r="G23" s="31" t="s">
        <v>16</v>
      </c>
      <c r="H23" s="31" t="s">
        <v>784</v>
      </c>
      <c r="I23" s="32" t="s">
        <v>18</v>
      </c>
      <c r="J23" s="32">
        <v>3</v>
      </c>
      <c r="K23" s="32"/>
      <c r="L23" s="43">
        <v>6000</v>
      </c>
      <c r="M23" s="43">
        <v>6500</v>
      </c>
      <c r="N23" s="43">
        <v>6500</v>
      </c>
      <c r="O23" s="43">
        <v>7000</v>
      </c>
      <c r="P23" s="43">
        <v>7500</v>
      </c>
      <c r="Q23" s="43">
        <v>8000</v>
      </c>
      <c r="R23" s="43"/>
      <c r="S23" s="43"/>
      <c r="T23" s="43"/>
      <c r="V23" s="37"/>
    </row>
    <row r="24" spans="1:22" hidden="1" x14ac:dyDescent="0.25">
      <c r="A24" s="31" t="s">
        <v>1183</v>
      </c>
      <c r="B24" s="31" t="s">
        <v>11</v>
      </c>
      <c r="C24" s="31" t="s">
        <v>12</v>
      </c>
      <c r="D24" s="31" t="s">
        <v>32</v>
      </c>
      <c r="E24" s="31" t="s">
        <v>797</v>
      </c>
      <c r="F24" s="31" t="s">
        <v>15</v>
      </c>
      <c r="G24" s="31" t="s">
        <v>16</v>
      </c>
      <c r="H24" s="31" t="s">
        <v>784</v>
      </c>
      <c r="I24" s="32" t="s">
        <v>18</v>
      </c>
      <c r="J24" s="32">
        <v>3</v>
      </c>
      <c r="K24" s="32"/>
      <c r="L24" s="43">
        <v>0</v>
      </c>
      <c r="M24" s="43">
        <v>0</v>
      </c>
      <c r="N24" s="43"/>
      <c r="O24" s="43"/>
      <c r="P24" s="43"/>
      <c r="Q24" s="43"/>
    </row>
    <row r="25" spans="1:22" hidden="1" x14ac:dyDescent="0.25">
      <c r="A25" s="31" t="s">
        <v>1182</v>
      </c>
      <c r="B25" s="31" t="s">
        <v>11</v>
      </c>
      <c r="C25" s="31" t="s">
        <v>12</v>
      </c>
      <c r="D25" s="31" t="s">
        <v>26</v>
      </c>
      <c r="E25" s="31" t="s">
        <v>797</v>
      </c>
      <c r="F25" s="31" t="s">
        <v>15</v>
      </c>
      <c r="G25" s="31" t="s">
        <v>16</v>
      </c>
      <c r="H25" s="31" t="s">
        <v>784</v>
      </c>
      <c r="I25" s="32" t="s">
        <v>18</v>
      </c>
      <c r="J25" s="32">
        <v>3</v>
      </c>
      <c r="K25" s="32"/>
      <c r="L25" s="43">
        <v>0</v>
      </c>
      <c r="M25" s="43">
        <v>0</v>
      </c>
      <c r="N25" s="43"/>
      <c r="O25" s="43"/>
      <c r="P25" s="43"/>
      <c r="Q25" s="43"/>
    </row>
    <row r="27" spans="1:22" ht="15.75" thickBot="1" x14ac:dyDescent="0.3">
      <c r="A27" s="93" t="s">
        <v>1203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1">
        <f t="shared" ref="L27:Q27" si="3">SUM(L5:L26)</f>
        <v>2266852.0312432004</v>
      </c>
      <c r="M27" s="91">
        <f t="shared" si="3"/>
        <v>2240048.4510000004</v>
      </c>
      <c r="N27" s="91">
        <f t="shared" si="3"/>
        <v>2240048.4510000004</v>
      </c>
      <c r="O27" s="91">
        <f t="shared" si="3"/>
        <v>2319033.8486792003</v>
      </c>
      <c r="P27" s="91">
        <f t="shared" si="3"/>
        <v>2421479.7380210846</v>
      </c>
      <c r="Q27" s="91">
        <f t="shared" si="3"/>
        <v>2532511.8262320342</v>
      </c>
    </row>
  </sheetData>
  <sortState xmlns:xlrd2="http://schemas.microsoft.com/office/spreadsheetml/2017/richdata2" ref="A2:Z24">
    <sortCondition ref="D2:D24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S26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28" style="35" bestFit="1" customWidth="1"/>
    <col min="5" max="11" width="9.125" style="35" hidden="1" customWidth="1"/>
    <col min="12" max="12" width="13.25" style="35" bestFit="1" customWidth="1"/>
    <col min="13" max="13" width="12.25" style="35" customWidth="1"/>
    <col min="14" max="17" width="12.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732</v>
      </c>
      <c r="B3" s="72"/>
      <c r="C3" s="72"/>
      <c r="D3" s="72"/>
    </row>
    <row r="4" spans="1:19" ht="70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741</v>
      </c>
      <c r="B5" s="31" t="s">
        <v>11</v>
      </c>
      <c r="C5" s="31" t="s">
        <v>12</v>
      </c>
      <c r="D5" s="31" t="s">
        <v>157</v>
      </c>
      <c r="E5" s="31" t="s">
        <v>69</v>
      </c>
      <c r="F5" s="31" t="s">
        <v>15</v>
      </c>
      <c r="G5" s="31" t="s">
        <v>16</v>
      </c>
      <c r="H5" s="31" t="s">
        <v>732</v>
      </c>
      <c r="I5" s="32" t="s">
        <v>18</v>
      </c>
      <c r="J5" s="32">
        <v>3</v>
      </c>
      <c r="K5" s="32"/>
      <c r="L5" s="34">
        <v>1150705.8384</v>
      </c>
      <c r="M5" s="34">
        <v>737375.44</v>
      </c>
      <c r="N5" s="34">
        <v>737375.44</v>
      </c>
      <c r="O5" s="34">
        <f>S5</f>
        <v>1193818.2278400001</v>
      </c>
      <c r="P5" s="34">
        <f>O5*1.044</f>
        <v>1246346.2298649601</v>
      </c>
      <c r="Q5" s="34">
        <f>P5*1.045</f>
        <v>1302431.8102088831</v>
      </c>
      <c r="S5" s="145">
        <f>'[1]6151STRAT'!$E$6</f>
        <v>1193818.2278400001</v>
      </c>
    </row>
    <row r="6" spans="1:19" hidden="1" x14ac:dyDescent="0.25">
      <c r="A6" s="71" t="s">
        <v>737</v>
      </c>
      <c r="B6" s="31"/>
      <c r="C6" s="31"/>
      <c r="D6" s="31" t="s">
        <v>86</v>
      </c>
      <c r="E6" s="31"/>
      <c r="F6" s="31"/>
      <c r="G6" s="31"/>
      <c r="H6" s="31"/>
      <c r="I6" s="32"/>
      <c r="J6" s="32"/>
      <c r="K6" s="32"/>
      <c r="L6" s="34">
        <v>0</v>
      </c>
      <c r="M6" s="34">
        <v>0</v>
      </c>
      <c r="N6" s="34">
        <v>0</v>
      </c>
      <c r="O6" s="34">
        <f t="shared" ref="O6:O16" si="0">S6</f>
        <v>0</v>
      </c>
      <c r="P6" s="34">
        <f t="shared" ref="P6:P16" si="1">O6*1.044</f>
        <v>0</v>
      </c>
      <c r="Q6" s="34">
        <f t="shared" ref="Q6:Q16" si="2">P6*1.045</f>
        <v>0</v>
      </c>
      <c r="S6" s="145"/>
    </row>
    <row r="7" spans="1:19" x14ac:dyDescent="0.25">
      <c r="A7" s="31" t="s">
        <v>738</v>
      </c>
      <c r="B7" s="31" t="s">
        <v>11</v>
      </c>
      <c r="C7" s="31" t="s">
        <v>12</v>
      </c>
      <c r="D7" s="31" t="s">
        <v>153</v>
      </c>
      <c r="E7" s="31" t="s">
        <v>69</v>
      </c>
      <c r="F7" s="31" t="s">
        <v>15</v>
      </c>
      <c r="G7" s="31" t="s">
        <v>16</v>
      </c>
      <c r="H7" s="31" t="s">
        <v>732</v>
      </c>
      <c r="I7" s="32" t="s">
        <v>18</v>
      </c>
      <c r="J7" s="32">
        <v>3</v>
      </c>
      <c r="K7" s="32"/>
      <c r="L7" s="34">
        <v>87693.043199999986</v>
      </c>
      <c r="M7" s="34">
        <v>87021.68</v>
      </c>
      <c r="N7" s="34">
        <v>87021.68</v>
      </c>
      <c r="O7" s="34">
        <f t="shared" si="0"/>
        <v>91285.74231999999</v>
      </c>
      <c r="P7" s="34">
        <f t="shared" si="1"/>
        <v>95302.314982079988</v>
      </c>
      <c r="Q7" s="34">
        <f t="shared" si="2"/>
        <v>99590.91915627358</v>
      </c>
      <c r="S7" s="145">
        <f>'[1]6151STRAT'!$I$6</f>
        <v>91285.74231999999</v>
      </c>
    </row>
    <row r="8" spans="1:19" x14ac:dyDescent="0.25">
      <c r="A8" s="31" t="s">
        <v>739</v>
      </c>
      <c r="B8" s="31"/>
      <c r="C8" s="31"/>
      <c r="D8" s="31" t="s">
        <v>2100</v>
      </c>
      <c r="E8" s="31"/>
      <c r="F8" s="31"/>
      <c r="G8" s="31"/>
      <c r="H8" s="31"/>
      <c r="I8" s="32"/>
      <c r="J8" s="32"/>
      <c r="K8" s="32"/>
      <c r="L8" s="34">
        <v>48384.253036799993</v>
      </c>
      <c r="M8" s="34">
        <v>48384.253036799993</v>
      </c>
      <c r="N8" s="34">
        <v>48384.253036799993</v>
      </c>
      <c r="O8" s="34">
        <f t="shared" si="0"/>
        <v>0</v>
      </c>
      <c r="P8" s="34">
        <f t="shared" si="1"/>
        <v>0</v>
      </c>
      <c r="Q8" s="34">
        <f t="shared" si="2"/>
        <v>0</v>
      </c>
      <c r="S8" s="145">
        <f>'[2]6151STRAT'!$J$6</f>
        <v>0</v>
      </c>
    </row>
    <row r="9" spans="1:19" x14ac:dyDescent="0.25">
      <c r="A9" s="31" t="s">
        <v>735</v>
      </c>
      <c r="B9" s="31" t="s">
        <v>11</v>
      </c>
      <c r="C9" s="31" t="s">
        <v>12</v>
      </c>
      <c r="D9" s="31" t="s">
        <v>41</v>
      </c>
      <c r="E9" s="31" t="s">
        <v>69</v>
      </c>
      <c r="F9" s="31" t="s">
        <v>15</v>
      </c>
      <c r="G9" s="31" t="s">
        <v>16</v>
      </c>
      <c r="H9" s="31" t="s">
        <v>732</v>
      </c>
      <c r="I9" s="32" t="s">
        <v>18</v>
      </c>
      <c r="J9" s="32">
        <v>3</v>
      </c>
      <c r="K9" s="32"/>
      <c r="L9" s="34">
        <v>231509.63404799998</v>
      </c>
      <c r="M9" s="34">
        <v>154599.8922</v>
      </c>
      <c r="N9" s="34">
        <v>154599.8922</v>
      </c>
      <c r="O9" s="34">
        <f t="shared" si="0"/>
        <v>240994.35972479999</v>
      </c>
      <c r="P9" s="34">
        <f t="shared" si="1"/>
        <v>251598.1115526912</v>
      </c>
      <c r="Q9" s="34">
        <f t="shared" si="2"/>
        <v>262920.02657256229</v>
      </c>
      <c r="S9" s="145">
        <f>'[1]6151STRAT'!$K$6</f>
        <v>240994.35972479999</v>
      </c>
    </row>
    <row r="10" spans="1:19" x14ac:dyDescent="0.25">
      <c r="A10" s="31" t="s">
        <v>734</v>
      </c>
      <c r="B10" s="31" t="s">
        <v>11</v>
      </c>
      <c r="C10" s="31" t="s">
        <v>12</v>
      </c>
      <c r="D10" s="31" t="s">
        <v>36</v>
      </c>
      <c r="E10" s="31" t="s">
        <v>69</v>
      </c>
      <c r="F10" s="31" t="s">
        <v>15</v>
      </c>
      <c r="G10" s="31" t="s">
        <v>16</v>
      </c>
      <c r="H10" s="31" t="s">
        <v>732</v>
      </c>
      <c r="I10" s="32" t="s">
        <v>18</v>
      </c>
      <c r="J10" s="32">
        <v>3</v>
      </c>
      <c r="K10" s="32"/>
      <c r="L10" s="34">
        <v>0</v>
      </c>
      <c r="M10" s="34">
        <v>26496</v>
      </c>
      <c r="N10" s="34">
        <v>26496</v>
      </c>
      <c r="O10" s="34">
        <f t="shared" si="0"/>
        <v>26496</v>
      </c>
      <c r="P10" s="34">
        <f t="shared" si="1"/>
        <v>27661.824000000001</v>
      </c>
      <c r="Q10" s="34">
        <f t="shared" si="2"/>
        <v>28906.606079999998</v>
      </c>
      <c r="S10" s="145">
        <f>'[1]6151STRAT'!$L$6</f>
        <v>26496</v>
      </c>
    </row>
    <row r="11" spans="1:19" x14ac:dyDescent="0.25">
      <c r="A11" s="31" t="s">
        <v>740</v>
      </c>
      <c r="B11" s="31" t="s">
        <v>11</v>
      </c>
      <c r="C11" s="31" t="s">
        <v>12</v>
      </c>
      <c r="D11" s="31" t="s">
        <v>47</v>
      </c>
      <c r="E11" s="31" t="s">
        <v>69</v>
      </c>
      <c r="F11" s="31" t="s">
        <v>15</v>
      </c>
      <c r="G11" s="31" t="s">
        <v>16</v>
      </c>
      <c r="H11" s="31" t="s">
        <v>732</v>
      </c>
      <c r="I11" s="32" t="s">
        <v>18</v>
      </c>
      <c r="J11" s="32">
        <v>3</v>
      </c>
      <c r="K11" s="32"/>
      <c r="L11" s="34">
        <v>379457.16000000003</v>
      </c>
      <c r="M11" s="34">
        <v>263190.75</v>
      </c>
      <c r="N11" s="34">
        <v>263190.75</v>
      </c>
      <c r="O11" s="34">
        <f t="shared" si="0"/>
        <v>406012.09319999994</v>
      </c>
      <c r="P11" s="34">
        <f t="shared" si="1"/>
        <v>423876.62530079996</v>
      </c>
      <c r="Q11" s="34">
        <f t="shared" si="2"/>
        <v>442951.07343933592</v>
      </c>
      <c r="S11" s="145">
        <f>'[1]6151STRAT'!$M$6</f>
        <v>406012.09319999994</v>
      </c>
    </row>
    <row r="12" spans="1:19" x14ac:dyDescent="0.25">
      <c r="A12" s="31" t="s">
        <v>749</v>
      </c>
      <c r="B12" s="31" t="s">
        <v>11</v>
      </c>
      <c r="C12" s="31" t="s">
        <v>12</v>
      </c>
      <c r="D12" s="31" t="s">
        <v>45</v>
      </c>
      <c r="E12" s="31" t="s">
        <v>719</v>
      </c>
      <c r="F12" s="31" t="s">
        <v>37</v>
      </c>
      <c r="G12" s="31" t="s">
        <v>16</v>
      </c>
      <c r="H12" s="31" t="s">
        <v>732</v>
      </c>
      <c r="I12" s="32" t="s">
        <v>38</v>
      </c>
      <c r="J12" s="32">
        <v>3</v>
      </c>
      <c r="K12" s="32"/>
      <c r="L12" s="34">
        <v>21726</v>
      </c>
      <c r="M12" s="34">
        <v>16035.18</v>
      </c>
      <c r="N12" s="34">
        <v>16035.18</v>
      </c>
      <c r="O12" s="34">
        <f t="shared" si="0"/>
        <v>23568.764159999999</v>
      </c>
      <c r="P12" s="34">
        <f t="shared" si="1"/>
        <v>24605.78978304</v>
      </c>
      <c r="Q12" s="34">
        <f t="shared" si="2"/>
        <v>25713.050323276799</v>
      </c>
      <c r="S12" s="145">
        <f>'[1]6151STRAT'!$N$6</f>
        <v>23568.764159999999</v>
      </c>
    </row>
    <row r="13" spans="1:19" x14ac:dyDescent="0.25">
      <c r="A13" s="31" t="s">
        <v>733</v>
      </c>
      <c r="B13" s="31" t="s">
        <v>11</v>
      </c>
      <c r="C13" s="31" t="s">
        <v>12</v>
      </c>
      <c r="D13" s="31" t="s">
        <v>151</v>
      </c>
      <c r="E13" s="31" t="s">
        <v>69</v>
      </c>
      <c r="F13" s="31" t="s">
        <v>15</v>
      </c>
      <c r="G13" s="31" t="s">
        <v>16</v>
      </c>
      <c r="H13" s="31" t="s">
        <v>732</v>
      </c>
      <c r="I13" s="32" t="s">
        <v>18</v>
      </c>
      <c r="J13" s="32">
        <v>3</v>
      </c>
      <c r="K13" s="32"/>
      <c r="L13" s="34">
        <v>356.40000000000003</v>
      </c>
      <c r="M13" s="34">
        <v>185.4</v>
      </c>
      <c r="N13" s="34">
        <v>185.4</v>
      </c>
      <c r="O13" s="34">
        <f t="shared" si="0"/>
        <v>370.8</v>
      </c>
      <c r="P13" s="34">
        <f t="shared" si="1"/>
        <v>387.11520000000002</v>
      </c>
      <c r="Q13" s="34">
        <f t="shared" si="2"/>
        <v>404.53538399999996</v>
      </c>
      <c r="S13" s="145">
        <f>'[1]6151STRAT'!$R$6</f>
        <v>370.8</v>
      </c>
    </row>
    <row r="14" spans="1:19" x14ac:dyDescent="0.25">
      <c r="A14" s="31" t="s">
        <v>736</v>
      </c>
      <c r="B14" s="31" t="s">
        <v>11</v>
      </c>
      <c r="C14" s="31" t="s">
        <v>12</v>
      </c>
      <c r="D14" s="31" t="s">
        <v>43</v>
      </c>
      <c r="E14" s="31" t="s">
        <v>69</v>
      </c>
      <c r="F14" s="31" t="s">
        <v>15</v>
      </c>
      <c r="G14" s="31" t="s">
        <v>16</v>
      </c>
      <c r="H14" s="31" t="s">
        <v>732</v>
      </c>
      <c r="I14" s="32" t="s">
        <v>18</v>
      </c>
      <c r="J14" s="32">
        <v>3</v>
      </c>
      <c r="K14" s="32"/>
      <c r="L14" s="34">
        <v>3978.6131999999998</v>
      </c>
      <c r="M14" s="34">
        <v>3927.7139999999999</v>
      </c>
      <c r="N14" s="34">
        <v>3927.7139999999999</v>
      </c>
      <c r="O14" s="34">
        <f t="shared" si="0"/>
        <v>3978.6131999999998</v>
      </c>
      <c r="P14" s="34">
        <f t="shared" si="1"/>
        <v>4153.6721808000002</v>
      </c>
      <c r="Q14" s="34">
        <f t="shared" si="2"/>
        <v>4340.5874289359999</v>
      </c>
      <c r="S14" s="145">
        <f>'[1]6151STRAT'!$T$6</f>
        <v>3978.6131999999998</v>
      </c>
    </row>
    <row r="15" spans="1:19" x14ac:dyDescent="0.25">
      <c r="A15" s="31"/>
      <c r="B15" s="31"/>
      <c r="C15" s="31"/>
      <c r="D15" s="31"/>
      <c r="E15" s="31"/>
      <c r="F15" s="31"/>
      <c r="G15" s="31"/>
      <c r="H15" s="31"/>
      <c r="I15" s="32"/>
      <c r="J15" s="32"/>
      <c r="K15" s="32"/>
      <c r="M15" s="34"/>
      <c r="N15" s="34"/>
      <c r="O15" s="34"/>
      <c r="P15" s="34"/>
      <c r="Q15" s="34"/>
      <c r="S15" s="145"/>
    </row>
    <row r="16" spans="1:19" x14ac:dyDescent="0.25">
      <c r="A16" s="31" t="s">
        <v>731</v>
      </c>
      <c r="B16" s="31" t="s">
        <v>11</v>
      </c>
      <c r="C16" s="31" t="s">
        <v>12</v>
      </c>
      <c r="D16" s="31" t="s">
        <v>30</v>
      </c>
      <c r="E16" s="31" t="s">
        <v>69</v>
      </c>
      <c r="F16" s="31" t="s">
        <v>15</v>
      </c>
      <c r="G16" s="31" t="s">
        <v>16</v>
      </c>
      <c r="H16" s="31" t="s">
        <v>732</v>
      </c>
      <c r="I16" s="32" t="s">
        <v>18</v>
      </c>
      <c r="J16" s="32">
        <v>3</v>
      </c>
      <c r="K16" s="32"/>
      <c r="L16" s="34">
        <v>11507.058384</v>
      </c>
      <c r="M16" s="34">
        <v>8238.9033999999992</v>
      </c>
      <c r="N16" s="34">
        <v>8238.9033999999992</v>
      </c>
      <c r="O16" s="34">
        <f t="shared" si="0"/>
        <v>11938.1822784</v>
      </c>
      <c r="P16" s="34">
        <f t="shared" si="1"/>
        <v>12463.4622986496</v>
      </c>
      <c r="Q16" s="34">
        <f t="shared" si="2"/>
        <v>13024.318102088831</v>
      </c>
      <c r="S16" s="145">
        <f>'[1]6151STRAT'!$Q$6</f>
        <v>11938.1822784</v>
      </c>
    </row>
    <row r="17" spans="1:19" x14ac:dyDescent="0.25">
      <c r="A17" s="31" t="s">
        <v>747</v>
      </c>
      <c r="B17" s="31" t="s">
        <v>11</v>
      </c>
      <c r="C17" s="31" t="s">
        <v>12</v>
      </c>
      <c r="D17" s="31" t="s">
        <v>20</v>
      </c>
      <c r="E17" s="31" t="s">
        <v>69</v>
      </c>
      <c r="F17" s="31" t="s">
        <v>15</v>
      </c>
      <c r="G17" s="31" t="s">
        <v>16</v>
      </c>
      <c r="H17" s="31" t="s">
        <v>732</v>
      </c>
      <c r="I17" s="32" t="s">
        <v>18</v>
      </c>
      <c r="J17" s="32">
        <v>3</v>
      </c>
      <c r="K17" s="32"/>
      <c r="L17" s="43">
        <v>1500</v>
      </c>
      <c r="M17" s="43">
        <v>1500</v>
      </c>
      <c r="N17" s="43">
        <v>1500</v>
      </c>
      <c r="O17" s="43">
        <v>3000</v>
      </c>
      <c r="P17" s="43">
        <v>3100</v>
      </c>
      <c r="Q17" s="43">
        <v>3200</v>
      </c>
    </row>
    <row r="18" spans="1:19" x14ac:dyDescent="0.25">
      <c r="A18" s="31" t="s">
        <v>746</v>
      </c>
      <c r="B18" s="31" t="s">
        <v>11</v>
      </c>
      <c r="C18" s="31" t="s">
        <v>12</v>
      </c>
      <c r="D18" s="31" t="s">
        <v>24</v>
      </c>
      <c r="E18" s="31" t="s">
        <v>69</v>
      </c>
      <c r="F18" s="31" t="s">
        <v>15</v>
      </c>
      <c r="G18" s="31" t="s">
        <v>16</v>
      </c>
      <c r="H18" s="31" t="s">
        <v>732</v>
      </c>
      <c r="I18" s="32" t="s">
        <v>18</v>
      </c>
      <c r="J18" s="32">
        <v>3</v>
      </c>
      <c r="K18" s="32"/>
      <c r="L18" s="43">
        <v>2000</v>
      </c>
      <c r="M18" s="43">
        <v>4000</v>
      </c>
      <c r="N18" s="43">
        <v>4000</v>
      </c>
      <c r="O18" s="43">
        <v>4000</v>
      </c>
      <c r="P18" s="43">
        <v>4000</v>
      </c>
      <c r="Q18" s="43">
        <v>4100</v>
      </c>
    </row>
    <row r="19" spans="1:19" hidden="1" x14ac:dyDescent="0.25">
      <c r="A19" s="31" t="s">
        <v>739</v>
      </c>
      <c r="B19" s="31" t="s">
        <v>11</v>
      </c>
      <c r="C19" s="31" t="s">
        <v>12</v>
      </c>
      <c r="D19" s="31" t="s">
        <v>155</v>
      </c>
      <c r="E19" s="31" t="s">
        <v>719</v>
      </c>
      <c r="F19" s="31" t="s">
        <v>37</v>
      </c>
      <c r="G19" s="31" t="s">
        <v>16</v>
      </c>
      <c r="H19" s="31" t="s">
        <v>732</v>
      </c>
      <c r="I19" s="32" t="s">
        <v>38</v>
      </c>
      <c r="J19" s="32">
        <v>1</v>
      </c>
      <c r="K19" s="32"/>
      <c r="L19" s="43"/>
      <c r="M19" s="43"/>
      <c r="N19" s="43"/>
      <c r="O19" s="43"/>
      <c r="P19" s="43"/>
      <c r="Q19" s="43"/>
    </row>
    <row r="20" spans="1:19" x14ac:dyDescent="0.25">
      <c r="A20" s="31" t="s">
        <v>748</v>
      </c>
      <c r="B20" s="31" t="s">
        <v>11</v>
      </c>
      <c r="C20" s="31" t="s">
        <v>12</v>
      </c>
      <c r="D20" s="31" t="s">
        <v>28</v>
      </c>
      <c r="E20" s="31" t="s">
        <v>69</v>
      </c>
      <c r="F20" s="31" t="s">
        <v>15</v>
      </c>
      <c r="G20" s="31" t="s">
        <v>16</v>
      </c>
      <c r="H20" s="31" t="s">
        <v>732</v>
      </c>
      <c r="I20" s="32" t="s">
        <v>18</v>
      </c>
      <c r="J20" s="32">
        <v>3</v>
      </c>
      <c r="K20" s="32"/>
      <c r="L20" s="43">
        <v>25000</v>
      </c>
      <c r="M20" s="43">
        <v>20000</v>
      </c>
      <c r="N20" s="43">
        <v>20000</v>
      </c>
      <c r="O20" s="43">
        <v>30000</v>
      </c>
      <c r="P20" s="43">
        <v>31000</v>
      </c>
      <c r="Q20" s="43">
        <v>33000</v>
      </c>
    </row>
    <row r="21" spans="1:19" s="107" customFormat="1" x14ac:dyDescent="0.25">
      <c r="A21" s="52" t="s">
        <v>743</v>
      </c>
      <c r="B21" s="52" t="s">
        <v>11</v>
      </c>
      <c r="C21" s="52" t="s">
        <v>12</v>
      </c>
      <c r="D21" s="52" t="s">
        <v>13</v>
      </c>
      <c r="E21" s="52" t="s">
        <v>69</v>
      </c>
      <c r="F21" s="52" t="s">
        <v>15</v>
      </c>
      <c r="G21" s="52" t="s">
        <v>16</v>
      </c>
      <c r="H21" s="52" t="s">
        <v>732</v>
      </c>
      <c r="I21" s="104" t="s">
        <v>18</v>
      </c>
      <c r="J21" s="104">
        <v>3</v>
      </c>
      <c r="K21" s="104"/>
      <c r="L21" s="105">
        <v>25000</v>
      </c>
      <c r="M21" s="105">
        <v>30000</v>
      </c>
      <c r="N21" s="105">
        <v>30000</v>
      </c>
      <c r="O21" s="105">
        <v>30000</v>
      </c>
      <c r="P21" s="105">
        <v>30000</v>
      </c>
      <c r="Q21" s="105">
        <v>31000</v>
      </c>
      <c r="S21" s="106"/>
    </row>
    <row r="22" spans="1:19" hidden="1" x14ac:dyDescent="0.25">
      <c r="A22" s="31" t="s">
        <v>744</v>
      </c>
      <c r="B22" s="31" t="s">
        <v>11</v>
      </c>
      <c r="C22" s="31" t="s">
        <v>12</v>
      </c>
      <c r="D22" s="31" t="s">
        <v>32</v>
      </c>
      <c r="E22" s="31" t="s">
        <v>69</v>
      </c>
      <c r="F22" s="31" t="s">
        <v>15</v>
      </c>
      <c r="G22" s="31" t="s">
        <v>16</v>
      </c>
      <c r="H22" s="31" t="s">
        <v>732</v>
      </c>
      <c r="I22" s="32" t="s">
        <v>18</v>
      </c>
      <c r="J22" s="32">
        <v>3</v>
      </c>
      <c r="K22" s="32"/>
      <c r="L22" s="34">
        <v>0</v>
      </c>
      <c r="M22" s="34"/>
      <c r="N22" s="34"/>
      <c r="O22" s="34"/>
      <c r="P22" s="34"/>
      <c r="Q22" s="34"/>
    </row>
    <row r="23" spans="1:19" hidden="1" x14ac:dyDescent="0.25">
      <c r="A23" s="31" t="s">
        <v>745</v>
      </c>
      <c r="B23" s="31" t="s">
        <v>11</v>
      </c>
      <c r="C23" s="31" t="s">
        <v>12</v>
      </c>
      <c r="D23" s="31" t="s">
        <v>26</v>
      </c>
      <c r="E23" s="31" t="s">
        <v>69</v>
      </c>
      <c r="F23" s="31" t="s">
        <v>15</v>
      </c>
      <c r="G23" s="31" t="s">
        <v>16</v>
      </c>
      <c r="H23" s="31" t="s">
        <v>732</v>
      </c>
      <c r="I23" s="32" t="s">
        <v>18</v>
      </c>
      <c r="J23" s="32">
        <v>3</v>
      </c>
      <c r="K23" s="32"/>
      <c r="L23" s="34">
        <v>0</v>
      </c>
      <c r="M23" s="34"/>
      <c r="N23" s="34"/>
      <c r="O23" s="34"/>
      <c r="P23" s="34"/>
      <c r="Q23" s="34"/>
    </row>
    <row r="24" spans="1:19" x14ac:dyDescent="0.25">
      <c r="A24" s="31" t="s">
        <v>742</v>
      </c>
      <c r="B24" s="31" t="s">
        <v>11</v>
      </c>
      <c r="C24" s="31" t="s">
        <v>12</v>
      </c>
      <c r="D24" s="31" t="s">
        <v>22</v>
      </c>
      <c r="E24" s="31" t="s">
        <v>69</v>
      </c>
      <c r="F24" s="31" t="s">
        <v>15</v>
      </c>
      <c r="G24" s="31" t="s">
        <v>16</v>
      </c>
      <c r="H24" s="31" t="s">
        <v>732</v>
      </c>
      <c r="I24" s="32" t="s">
        <v>18</v>
      </c>
      <c r="J24" s="32">
        <v>3</v>
      </c>
      <c r="K24" s="32"/>
      <c r="L24" s="43">
        <v>7000</v>
      </c>
      <c r="M24" s="43">
        <v>10000</v>
      </c>
      <c r="N24" s="43">
        <v>10000</v>
      </c>
      <c r="O24" s="43">
        <v>10000</v>
      </c>
      <c r="P24" s="43">
        <v>11000</v>
      </c>
      <c r="Q24" s="43">
        <v>12000</v>
      </c>
    </row>
    <row r="26" spans="1:19" ht="15.75" thickBot="1" x14ac:dyDescent="0.3">
      <c r="A26" s="93" t="s">
        <v>1203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1">
        <f t="shared" ref="L26:Q26" si="3">SUM(L5:L25)</f>
        <v>1995818.0002688</v>
      </c>
      <c r="M26" s="91">
        <f t="shared" si="3"/>
        <v>1410955.2126367996</v>
      </c>
      <c r="N26" s="91">
        <f t="shared" si="3"/>
        <v>1410955.2126367996</v>
      </c>
      <c r="O26" s="91">
        <f t="shared" si="3"/>
        <v>2075462.7827232003</v>
      </c>
      <c r="P26" s="91">
        <f t="shared" si="3"/>
        <v>2165495.1451630206</v>
      </c>
      <c r="Q26" s="91">
        <f t="shared" si="3"/>
        <v>2263582.9266953561</v>
      </c>
    </row>
  </sheetData>
  <sortState xmlns:xlrd2="http://schemas.microsoft.com/office/spreadsheetml/2017/richdata2" ref="A2:Z18">
    <sortCondition ref="D2:D18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S36"/>
  <sheetViews>
    <sheetView zoomScale="110" zoomScaleNormal="110" workbookViewId="0">
      <pane ySplit="4" topLeftCell="A11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31.625" style="35" customWidth="1"/>
    <col min="5" max="11" width="9.125" style="35" hidden="1" customWidth="1"/>
    <col min="12" max="12" width="12.625" style="35" bestFit="1" customWidth="1"/>
    <col min="13" max="13" width="12.75" style="35" bestFit="1" customWidth="1"/>
    <col min="14" max="15" width="12.75" style="171" customWidth="1"/>
    <col min="16" max="16" width="14.625" style="171" customWidth="1"/>
    <col min="17" max="17" width="12.7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1742</v>
      </c>
      <c r="B3" s="72"/>
      <c r="C3" s="72"/>
      <c r="D3" s="72"/>
    </row>
    <row r="4" spans="1:19" ht="70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768</v>
      </c>
      <c r="B6" s="31" t="s">
        <v>290</v>
      </c>
      <c r="C6" s="31" t="s">
        <v>486</v>
      </c>
      <c r="D6" s="31" t="s">
        <v>606</v>
      </c>
      <c r="E6" s="31" t="s">
        <v>69</v>
      </c>
      <c r="F6" s="31" t="s">
        <v>292</v>
      </c>
      <c r="G6" s="31" t="s">
        <v>16</v>
      </c>
      <c r="H6" s="31" t="s">
        <v>720</v>
      </c>
      <c r="I6" s="32" t="s">
        <v>18</v>
      </c>
      <c r="J6" s="32">
        <v>3</v>
      </c>
      <c r="K6" s="32"/>
      <c r="L6" s="43">
        <v>100000</v>
      </c>
      <c r="M6" s="105">
        <v>150000</v>
      </c>
      <c r="N6" s="105">
        <v>150000</v>
      </c>
      <c r="O6" s="105">
        <v>500000</v>
      </c>
      <c r="P6" s="105">
        <v>510000</v>
      </c>
      <c r="Q6" s="105">
        <v>520000</v>
      </c>
    </row>
    <row r="7" spans="1:19" x14ac:dyDescent="0.25">
      <c r="A7" s="31" t="s">
        <v>769</v>
      </c>
      <c r="B7" s="31" t="s">
        <v>290</v>
      </c>
      <c r="C7" s="31" t="s">
        <v>770</v>
      </c>
      <c r="D7" s="31" t="s">
        <v>1611</v>
      </c>
      <c r="E7" s="31" t="s">
        <v>69</v>
      </c>
      <c r="F7" s="31" t="s">
        <v>292</v>
      </c>
      <c r="G7" s="31" t="s">
        <v>16</v>
      </c>
      <c r="H7" s="31" t="s">
        <v>720</v>
      </c>
      <c r="I7" s="32" t="s">
        <v>18</v>
      </c>
      <c r="J7" s="32">
        <v>3</v>
      </c>
      <c r="K7" s="32"/>
      <c r="L7" s="43">
        <v>5000</v>
      </c>
      <c r="M7" s="105">
        <v>4000</v>
      </c>
      <c r="N7" s="105">
        <v>4000</v>
      </c>
      <c r="O7" s="105">
        <v>5000</v>
      </c>
      <c r="P7" s="105">
        <v>5000</v>
      </c>
      <c r="Q7" s="105">
        <v>5000</v>
      </c>
    </row>
    <row r="8" spans="1:19" x14ac:dyDescent="0.25">
      <c r="A8" s="52" t="s">
        <v>2181</v>
      </c>
      <c r="B8" s="52" t="s">
        <v>290</v>
      </c>
      <c r="C8" s="52" t="s">
        <v>776</v>
      </c>
      <c r="D8" s="52" t="s">
        <v>1688</v>
      </c>
      <c r="E8" s="52" t="s">
        <v>90</v>
      </c>
      <c r="F8" s="52" t="s">
        <v>295</v>
      </c>
      <c r="G8" s="52" t="s">
        <v>16</v>
      </c>
      <c r="H8" s="52" t="s">
        <v>559</v>
      </c>
      <c r="I8" s="104" t="s">
        <v>38</v>
      </c>
      <c r="J8" s="104">
        <v>1</v>
      </c>
      <c r="K8" s="104"/>
      <c r="L8" s="43">
        <v>500000</v>
      </c>
      <c r="M8" s="105">
        <v>50000</v>
      </c>
      <c r="N8" s="105">
        <v>50000</v>
      </c>
      <c r="O8" s="105">
        <v>100000</v>
      </c>
      <c r="P8" s="105">
        <v>100000</v>
      </c>
      <c r="Q8" s="105">
        <v>110000</v>
      </c>
    </row>
    <row r="9" spans="1:19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19" x14ac:dyDescent="0.25">
      <c r="A10" s="95" t="s">
        <v>1609</v>
      </c>
      <c r="B10" s="95"/>
      <c r="C10" s="95"/>
      <c r="D10" s="95"/>
      <c r="E10" s="95"/>
      <c r="F10" s="95"/>
      <c r="G10" s="95"/>
      <c r="H10" s="95"/>
      <c r="L10" s="97">
        <f t="shared" ref="L10:Q10" si="0">SUM(L6:L8)</f>
        <v>605000</v>
      </c>
      <c r="M10" s="97">
        <f t="shared" si="0"/>
        <v>204000</v>
      </c>
      <c r="N10" s="97">
        <f t="shared" si="0"/>
        <v>204000</v>
      </c>
      <c r="O10" s="97">
        <f t="shared" si="0"/>
        <v>605000</v>
      </c>
      <c r="P10" s="97">
        <f t="shared" si="0"/>
        <v>615000</v>
      </c>
      <c r="Q10" s="97">
        <f t="shared" si="0"/>
        <v>635000</v>
      </c>
    </row>
    <row r="11" spans="1:19" x14ac:dyDescent="0.25">
      <c r="A11" s="31"/>
      <c r="B11" s="31"/>
      <c r="C11" s="31"/>
      <c r="D11" s="31"/>
      <c r="E11" s="31"/>
      <c r="F11" s="31"/>
      <c r="G11" s="31"/>
      <c r="H11" s="31"/>
      <c r="I11" s="32"/>
      <c r="J11" s="32"/>
      <c r="K11" s="32"/>
    </row>
    <row r="12" spans="1:19" x14ac:dyDescent="0.25">
      <c r="A12" s="31" t="s">
        <v>760</v>
      </c>
      <c r="B12" s="31" t="s">
        <v>11</v>
      </c>
      <c r="C12" s="31" t="s">
        <v>12</v>
      </c>
      <c r="D12" s="31" t="s">
        <v>157</v>
      </c>
      <c r="E12" s="31" t="s">
        <v>69</v>
      </c>
      <c r="F12" s="31" t="s">
        <v>15</v>
      </c>
      <c r="G12" s="31" t="s">
        <v>16</v>
      </c>
      <c r="H12" s="31" t="s">
        <v>720</v>
      </c>
      <c r="I12" s="32" t="s">
        <v>18</v>
      </c>
      <c r="J12" s="32">
        <v>3</v>
      </c>
      <c r="K12" s="32"/>
      <c r="L12" s="34">
        <v>1681659.6206400001</v>
      </c>
      <c r="M12" s="34">
        <v>1610868.3699999999</v>
      </c>
      <c r="N12" s="34">
        <v>1610868.3699999999</v>
      </c>
      <c r="O12" s="34">
        <f>S12</f>
        <v>1583772.1856399998</v>
      </c>
      <c r="P12" s="34">
        <f>O12*1.044</f>
        <v>1653458.1618081599</v>
      </c>
      <c r="Q12" s="34">
        <f>P12*1.045</f>
        <v>1727863.779089527</v>
      </c>
      <c r="S12" s="145">
        <f>'[1]6153LED'!$E$8</f>
        <v>1583772.1856399998</v>
      </c>
    </row>
    <row r="13" spans="1:19" hidden="1" x14ac:dyDescent="0.25">
      <c r="A13" s="31" t="s">
        <v>771</v>
      </c>
      <c r="B13" s="31" t="s">
        <v>11</v>
      </c>
      <c r="C13" s="31" t="s">
        <v>12</v>
      </c>
      <c r="D13" s="31" t="s">
        <v>86</v>
      </c>
      <c r="E13" s="31" t="s">
        <v>87</v>
      </c>
      <c r="F13" s="31" t="s">
        <v>37</v>
      </c>
      <c r="G13" s="31" t="s">
        <v>16</v>
      </c>
      <c r="H13" s="31" t="s">
        <v>720</v>
      </c>
      <c r="I13" s="32" t="s">
        <v>38</v>
      </c>
      <c r="J13" s="32">
        <v>1</v>
      </c>
      <c r="K13" s="32"/>
      <c r="L13" s="34"/>
      <c r="M13" s="34">
        <v>0</v>
      </c>
      <c r="N13" s="34">
        <v>0</v>
      </c>
      <c r="O13" s="34"/>
      <c r="P13" s="34">
        <f t="shared" ref="P13:P14" si="1">O13*1.044</f>
        <v>0</v>
      </c>
      <c r="Q13" s="34">
        <f t="shared" ref="Q13:Q14" si="2">P13*1.045</f>
        <v>0</v>
      </c>
      <c r="S13" s="145"/>
    </row>
    <row r="14" spans="1:19" x14ac:dyDescent="0.25">
      <c r="A14" s="31" t="s">
        <v>755</v>
      </c>
      <c r="B14" s="31" t="s">
        <v>11</v>
      </c>
      <c r="C14" s="31" t="s">
        <v>12</v>
      </c>
      <c r="D14" s="31" t="s">
        <v>1630</v>
      </c>
      <c r="E14" s="31" t="s">
        <v>719</v>
      </c>
      <c r="F14" s="31" t="s">
        <v>37</v>
      </c>
      <c r="G14" s="31" t="s">
        <v>16</v>
      </c>
      <c r="H14" s="31" t="s">
        <v>720</v>
      </c>
      <c r="I14" s="32" t="s">
        <v>38</v>
      </c>
      <c r="J14" s="32">
        <v>1</v>
      </c>
      <c r="K14" s="32"/>
      <c r="L14" s="34">
        <v>20000</v>
      </c>
      <c r="M14" s="34">
        <v>15000</v>
      </c>
      <c r="N14" s="34">
        <v>15000</v>
      </c>
      <c r="O14" s="34">
        <v>20000</v>
      </c>
      <c r="P14" s="34">
        <f t="shared" si="1"/>
        <v>20880</v>
      </c>
      <c r="Q14" s="34">
        <f t="shared" si="2"/>
        <v>21819.599999999999</v>
      </c>
      <c r="S14" s="145"/>
    </row>
    <row r="15" spans="1:19" x14ac:dyDescent="0.25">
      <c r="A15" s="31" t="s">
        <v>756</v>
      </c>
      <c r="B15" s="31" t="s">
        <v>11</v>
      </c>
      <c r="C15" s="31" t="s">
        <v>12</v>
      </c>
      <c r="D15" s="31" t="s">
        <v>153</v>
      </c>
      <c r="E15" s="31" t="s">
        <v>69</v>
      </c>
      <c r="F15" s="31" t="s">
        <v>15</v>
      </c>
      <c r="G15" s="31" t="s">
        <v>16</v>
      </c>
      <c r="H15" s="31" t="s">
        <v>720</v>
      </c>
      <c r="I15" s="32" t="s">
        <v>18</v>
      </c>
      <c r="J15" s="32">
        <v>3</v>
      </c>
      <c r="K15" s="32"/>
      <c r="L15" s="34">
        <v>140138.30171999999</v>
      </c>
      <c r="M15" s="34">
        <v>124137.62</v>
      </c>
      <c r="N15" s="34">
        <v>124137.62</v>
      </c>
      <c r="O15" s="34">
        <f>S15</f>
        <v>131981.01546999998</v>
      </c>
      <c r="P15" s="34">
        <f>O15*1.044</f>
        <v>137788.18015067998</v>
      </c>
      <c r="Q15" s="34">
        <f>P15*1.045</f>
        <v>143988.64825746056</v>
      </c>
      <c r="S15" s="145">
        <f>'[1]6153LED'!$I$8</f>
        <v>131981.01546999998</v>
      </c>
    </row>
    <row r="16" spans="1:19" x14ac:dyDescent="0.25">
      <c r="A16" s="31" t="s">
        <v>757</v>
      </c>
      <c r="B16" s="31" t="s">
        <v>11</v>
      </c>
      <c r="C16" s="31" t="s">
        <v>12</v>
      </c>
      <c r="D16" s="31" t="s">
        <v>155</v>
      </c>
      <c r="E16" s="31" t="s">
        <v>69</v>
      </c>
      <c r="F16" s="31" t="s">
        <v>15</v>
      </c>
      <c r="G16" s="31" t="s">
        <v>16</v>
      </c>
      <c r="H16" s="31" t="s">
        <v>720</v>
      </c>
      <c r="I16" s="32" t="s">
        <v>18</v>
      </c>
      <c r="J16" s="32">
        <v>3</v>
      </c>
      <c r="K16" s="32"/>
      <c r="L16" s="34">
        <v>48384.253036799993</v>
      </c>
      <c r="M16" s="34">
        <v>48384.253036799993</v>
      </c>
      <c r="N16" s="34">
        <v>48384.253036799993</v>
      </c>
      <c r="O16" s="34">
        <f t="shared" ref="O16:O26" si="3">S16</f>
        <v>0</v>
      </c>
      <c r="P16" s="34">
        <f t="shared" ref="P16:P26" si="4">O16*1.044</f>
        <v>0</v>
      </c>
      <c r="Q16" s="34">
        <f t="shared" ref="Q16:Q26" si="5">P16*1.045</f>
        <v>0</v>
      </c>
      <c r="S16" s="145">
        <f>'[2]6153LED'!$J$8</f>
        <v>0</v>
      </c>
    </row>
    <row r="17" spans="1:19" x14ac:dyDescent="0.25">
      <c r="A17" s="31" t="s">
        <v>753</v>
      </c>
      <c r="B17" s="31" t="s">
        <v>11</v>
      </c>
      <c r="C17" s="31" t="s">
        <v>12</v>
      </c>
      <c r="D17" s="31" t="s">
        <v>41</v>
      </c>
      <c r="E17" s="31" t="s">
        <v>69</v>
      </c>
      <c r="F17" s="31" t="s">
        <v>15</v>
      </c>
      <c r="G17" s="31" t="s">
        <v>16</v>
      </c>
      <c r="H17" s="31" t="s">
        <v>720</v>
      </c>
      <c r="I17" s="32" t="s">
        <v>18</v>
      </c>
      <c r="J17" s="32">
        <v>3</v>
      </c>
      <c r="K17" s="32"/>
      <c r="L17" s="34">
        <v>369965.11654080002</v>
      </c>
      <c r="M17" s="34">
        <v>346514.85960000003</v>
      </c>
      <c r="N17" s="34">
        <v>346514.85960000003</v>
      </c>
      <c r="O17" s="34">
        <f t="shared" si="3"/>
        <v>348429.88084079995</v>
      </c>
      <c r="P17" s="34">
        <f t="shared" si="4"/>
        <v>363760.79559779516</v>
      </c>
      <c r="Q17" s="34">
        <f t="shared" si="5"/>
        <v>380130.0313996959</v>
      </c>
      <c r="S17" s="145">
        <f>'[1]6153LED'!$K$8</f>
        <v>348429.88084079995</v>
      </c>
    </row>
    <row r="18" spans="1:19" x14ac:dyDescent="0.25">
      <c r="A18" s="31" t="s">
        <v>752</v>
      </c>
      <c r="B18" s="31" t="s">
        <v>11</v>
      </c>
      <c r="C18" s="31" t="s">
        <v>12</v>
      </c>
      <c r="D18" s="31" t="s">
        <v>36</v>
      </c>
      <c r="E18" s="31" t="s">
        <v>69</v>
      </c>
      <c r="F18" s="31" t="s">
        <v>15</v>
      </c>
      <c r="G18" s="31" t="s">
        <v>16</v>
      </c>
      <c r="H18" s="31" t="s">
        <v>720</v>
      </c>
      <c r="I18" s="32" t="s">
        <v>18</v>
      </c>
      <c r="J18" s="32">
        <v>3</v>
      </c>
      <c r="K18" s="32"/>
      <c r="L18" s="34">
        <v>52524</v>
      </c>
      <c r="M18" s="34">
        <v>64216.800000000003</v>
      </c>
      <c r="N18" s="34">
        <v>64216.800000000003</v>
      </c>
      <c r="O18" s="34">
        <f t="shared" si="3"/>
        <v>54417.600000000006</v>
      </c>
      <c r="P18" s="34">
        <f t="shared" si="4"/>
        <v>56811.974400000006</v>
      </c>
      <c r="Q18" s="34">
        <f t="shared" si="5"/>
        <v>59368.513248000003</v>
      </c>
      <c r="S18" s="145">
        <f>'[1]6153LED'!$L$8</f>
        <v>54417.600000000006</v>
      </c>
    </row>
    <row r="19" spans="1:19" x14ac:dyDescent="0.25">
      <c r="A19" s="31" t="s">
        <v>759</v>
      </c>
      <c r="B19" s="31" t="s">
        <v>11</v>
      </c>
      <c r="C19" s="31" t="s">
        <v>12</v>
      </c>
      <c r="D19" s="31" t="s">
        <v>47</v>
      </c>
      <c r="E19" s="31" t="s">
        <v>69</v>
      </c>
      <c r="F19" s="31" t="s">
        <v>15</v>
      </c>
      <c r="G19" s="31" t="s">
        <v>16</v>
      </c>
      <c r="H19" s="31" t="s">
        <v>720</v>
      </c>
      <c r="I19" s="32" t="s">
        <v>18</v>
      </c>
      <c r="J19" s="32">
        <v>3</v>
      </c>
      <c r="K19" s="32"/>
      <c r="L19" s="34">
        <v>216845.64</v>
      </c>
      <c r="M19" s="34">
        <v>222537.87</v>
      </c>
      <c r="N19" s="34">
        <v>222537.87</v>
      </c>
      <c r="O19" s="34">
        <f t="shared" si="3"/>
        <v>235432.60871999996</v>
      </c>
      <c r="P19" s="34">
        <f t="shared" si="4"/>
        <v>245791.64350367998</v>
      </c>
      <c r="Q19" s="34">
        <f t="shared" si="5"/>
        <v>256852.26746134556</v>
      </c>
      <c r="S19" s="145">
        <f>'[1]6153LED'!$M$8</f>
        <v>235432.60871999996</v>
      </c>
    </row>
    <row r="20" spans="1:19" x14ac:dyDescent="0.25">
      <c r="A20" s="31" t="s">
        <v>772</v>
      </c>
      <c r="B20" s="31" t="s">
        <v>11</v>
      </c>
      <c r="C20" s="31" t="s">
        <v>12</v>
      </c>
      <c r="D20" s="31" t="s">
        <v>45</v>
      </c>
      <c r="E20" s="31" t="s">
        <v>719</v>
      </c>
      <c r="F20" s="31" t="s">
        <v>37</v>
      </c>
      <c r="G20" s="31" t="s">
        <v>16</v>
      </c>
      <c r="H20" s="31" t="s">
        <v>720</v>
      </c>
      <c r="I20" s="32" t="s">
        <v>38</v>
      </c>
      <c r="J20" s="32">
        <v>3</v>
      </c>
      <c r="K20" s="32"/>
      <c r="L20" s="34">
        <v>13578.72</v>
      </c>
      <c r="M20" s="34">
        <v>13930.41</v>
      </c>
      <c r="N20" s="34">
        <v>13930.41</v>
      </c>
      <c r="O20" s="34">
        <f t="shared" si="3"/>
        <v>14735.386919999997</v>
      </c>
      <c r="P20" s="34">
        <f t="shared" si="4"/>
        <v>15383.743944479998</v>
      </c>
      <c r="Q20" s="34">
        <f t="shared" si="5"/>
        <v>16076.012421981597</v>
      </c>
      <c r="S20" s="145">
        <f>'[1]6153LED'!$N$8</f>
        <v>14735.386919999997</v>
      </c>
    </row>
    <row r="21" spans="1:19" x14ac:dyDescent="0.25">
      <c r="A21" s="31" t="s">
        <v>751</v>
      </c>
      <c r="B21" s="31" t="s">
        <v>11</v>
      </c>
      <c r="C21" s="31" t="s">
        <v>12</v>
      </c>
      <c r="D21" s="31" t="s">
        <v>151</v>
      </c>
      <c r="E21" s="31" t="s">
        <v>69</v>
      </c>
      <c r="F21" s="31" t="s">
        <v>15</v>
      </c>
      <c r="G21" s="31" t="s">
        <v>16</v>
      </c>
      <c r="H21" s="31" t="s">
        <v>720</v>
      </c>
      <c r="I21" s="32" t="s">
        <v>18</v>
      </c>
      <c r="J21" s="32">
        <v>3</v>
      </c>
      <c r="K21" s="32"/>
      <c r="L21" s="34">
        <v>712.8</v>
      </c>
      <c r="M21" s="34">
        <v>679.8</v>
      </c>
      <c r="N21" s="34">
        <v>679.8</v>
      </c>
      <c r="O21" s="34">
        <f t="shared" si="3"/>
        <v>618</v>
      </c>
      <c r="P21" s="34">
        <f t="shared" si="4"/>
        <v>645.19200000000001</v>
      </c>
      <c r="Q21" s="34">
        <f t="shared" si="5"/>
        <v>674.22564</v>
      </c>
      <c r="S21" s="145">
        <f>'[1]6153LED'!$R$8</f>
        <v>618</v>
      </c>
    </row>
    <row r="22" spans="1:19" hidden="1" x14ac:dyDescent="0.25">
      <c r="A22" s="31" t="s">
        <v>758</v>
      </c>
      <c r="B22" s="31" t="s">
        <v>11</v>
      </c>
      <c r="C22" s="31" t="s">
        <v>12</v>
      </c>
      <c r="D22" s="31" t="s">
        <v>156</v>
      </c>
      <c r="E22" s="31" t="s">
        <v>719</v>
      </c>
      <c r="F22" s="31" t="s">
        <v>37</v>
      </c>
      <c r="G22" s="31" t="s">
        <v>16</v>
      </c>
      <c r="H22" s="31" t="s">
        <v>720</v>
      </c>
      <c r="I22" s="32" t="s">
        <v>38</v>
      </c>
      <c r="J22" s="32">
        <v>1</v>
      </c>
      <c r="K22" s="32"/>
      <c r="L22" s="34">
        <v>0</v>
      </c>
      <c r="M22" s="34">
        <v>0</v>
      </c>
      <c r="N22" s="34">
        <v>0</v>
      </c>
      <c r="O22" s="34">
        <f t="shared" si="3"/>
        <v>0</v>
      </c>
      <c r="P22" s="34">
        <f t="shared" si="4"/>
        <v>0</v>
      </c>
      <c r="Q22" s="34">
        <f t="shared" si="5"/>
        <v>0</v>
      </c>
      <c r="S22" s="145"/>
    </row>
    <row r="23" spans="1:19" x14ac:dyDescent="0.25">
      <c r="A23" s="31" t="s">
        <v>754</v>
      </c>
      <c r="B23" s="31" t="s">
        <v>11</v>
      </c>
      <c r="C23" s="31" t="s">
        <v>12</v>
      </c>
      <c r="D23" s="31" t="s">
        <v>43</v>
      </c>
      <c r="E23" s="31" t="s">
        <v>69</v>
      </c>
      <c r="F23" s="31" t="s">
        <v>15</v>
      </c>
      <c r="G23" s="31" t="s">
        <v>16</v>
      </c>
      <c r="H23" s="31" t="s">
        <v>720</v>
      </c>
      <c r="I23" s="32" t="s">
        <v>18</v>
      </c>
      <c r="J23" s="32">
        <v>3</v>
      </c>
      <c r="K23" s="32"/>
      <c r="L23" s="34">
        <v>8984.16</v>
      </c>
      <c r="M23" s="34">
        <v>12430.472399999999</v>
      </c>
      <c r="N23" s="34">
        <v>12430.472399999999</v>
      </c>
      <c r="O23" s="34">
        <f t="shared" si="3"/>
        <v>7486.7999999999993</v>
      </c>
      <c r="P23" s="34">
        <f t="shared" si="4"/>
        <v>7816.2191999999995</v>
      </c>
      <c r="Q23" s="34">
        <f t="shared" si="5"/>
        <v>8167.9490639999985</v>
      </c>
      <c r="S23" s="145">
        <f>'[1]6153LED'!$T$8</f>
        <v>7486.7999999999993</v>
      </c>
    </row>
    <row r="24" spans="1:19" hidden="1" x14ac:dyDescent="0.25">
      <c r="A24" s="31" t="s">
        <v>775</v>
      </c>
      <c r="B24" s="31" t="s">
        <v>11</v>
      </c>
      <c r="C24" s="31" t="s">
        <v>12</v>
      </c>
      <c r="D24" s="31" t="s">
        <v>162</v>
      </c>
      <c r="E24" s="31" t="s">
        <v>719</v>
      </c>
      <c r="F24" s="31" t="s">
        <v>37</v>
      </c>
      <c r="G24" s="31" t="s">
        <v>16</v>
      </c>
      <c r="H24" s="31" t="s">
        <v>720</v>
      </c>
      <c r="I24" s="32" t="s">
        <v>38</v>
      </c>
      <c r="J24" s="32">
        <v>1</v>
      </c>
      <c r="K24" s="32"/>
      <c r="M24" s="34">
        <v>0</v>
      </c>
      <c r="N24" s="34">
        <v>0</v>
      </c>
      <c r="O24" s="34">
        <f t="shared" si="3"/>
        <v>0</v>
      </c>
      <c r="P24" s="34">
        <f t="shared" si="4"/>
        <v>0</v>
      </c>
      <c r="Q24" s="34">
        <f t="shared" si="5"/>
        <v>0</v>
      </c>
      <c r="S24" s="145"/>
    </row>
    <row r="25" spans="1:19" x14ac:dyDescent="0.25">
      <c r="A25" s="31"/>
      <c r="B25" s="31"/>
      <c r="C25" s="31"/>
      <c r="D25" s="31"/>
      <c r="E25" s="31"/>
      <c r="F25" s="31"/>
      <c r="G25" s="31"/>
      <c r="H25" s="31"/>
      <c r="I25" s="32"/>
      <c r="J25" s="32"/>
      <c r="K25" s="32"/>
      <c r="M25" s="34"/>
      <c r="N25" s="34"/>
      <c r="O25" s="34"/>
      <c r="P25" s="34"/>
      <c r="Q25" s="34"/>
      <c r="S25" s="145"/>
    </row>
    <row r="26" spans="1:19" x14ac:dyDescent="0.25">
      <c r="A26" s="31" t="s">
        <v>750</v>
      </c>
      <c r="B26" s="31" t="s">
        <v>11</v>
      </c>
      <c r="C26" s="31" t="s">
        <v>12</v>
      </c>
      <c r="D26" s="31" t="s">
        <v>30</v>
      </c>
      <c r="E26" s="31" t="s">
        <v>69</v>
      </c>
      <c r="F26" s="31" t="s">
        <v>15</v>
      </c>
      <c r="G26" s="31" t="s">
        <v>16</v>
      </c>
      <c r="H26" s="31" t="s">
        <v>720</v>
      </c>
      <c r="I26" s="32" t="s">
        <v>18</v>
      </c>
      <c r="J26" s="32">
        <v>3</v>
      </c>
      <c r="K26" s="32"/>
      <c r="L26" s="34">
        <v>16816.596206400001</v>
      </c>
      <c r="M26" s="34">
        <v>17489.021799999999</v>
      </c>
      <c r="N26" s="34">
        <v>17489.021799999999</v>
      </c>
      <c r="O26" s="34">
        <f t="shared" si="3"/>
        <v>15837.721856399998</v>
      </c>
      <c r="P26" s="34">
        <f t="shared" si="4"/>
        <v>16534.5816180816</v>
      </c>
      <c r="Q26" s="34">
        <f t="shared" si="5"/>
        <v>17278.637790895271</v>
      </c>
      <c r="S26" s="145">
        <f>'[1]6153LED'!$Q$8</f>
        <v>15837.721856399998</v>
      </c>
    </row>
    <row r="27" spans="1:19" x14ac:dyDescent="0.25">
      <c r="A27" s="31" t="s">
        <v>765</v>
      </c>
      <c r="B27" s="31" t="s">
        <v>11</v>
      </c>
      <c r="C27" s="31" t="s">
        <v>12</v>
      </c>
      <c r="D27" s="31" t="s">
        <v>20</v>
      </c>
      <c r="E27" s="31" t="s">
        <v>69</v>
      </c>
      <c r="F27" s="31" t="s">
        <v>15</v>
      </c>
      <c r="G27" s="31" t="s">
        <v>16</v>
      </c>
      <c r="H27" s="31" t="s">
        <v>720</v>
      </c>
      <c r="I27" s="32" t="s">
        <v>18</v>
      </c>
      <c r="J27" s="32">
        <v>3</v>
      </c>
      <c r="K27" s="32"/>
      <c r="L27" s="43">
        <v>2000</v>
      </c>
      <c r="M27" s="43">
        <v>2000</v>
      </c>
      <c r="N27" s="43">
        <v>2000</v>
      </c>
      <c r="O27" s="43">
        <v>2000</v>
      </c>
      <c r="P27" s="43">
        <v>2200</v>
      </c>
      <c r="Q27" s="43">
        <v>2300</v>
      </c>
    </row>
    <row r="28" spans="1:19" x14ac:dyDescent="0.25">
      <c r="A28" s="31" t="s">
        <v>767</v>
      </c>
      <c r="B28" s="31" t="s">
        <v>11</v>
      </c>
      <c r="C28" s="31" t="s">
        <v>12</v>
      </c>
      <c r="D28" s="31" t="s">
        <v>24</v>
      </c>
      <c r="E28" s="31" t="s">
        <v>69</v>
      </c>
      <c r="F28" s="31" t="s">
        <v>15</v>
      </c>
      <c r="G28" s="31" t="s">
        <v>16</v>
      </c>
      <c r="H28" s="31" t="s">
        <v>720</v>
      </c>
      <c r="I28" s="32" t="s">
        <v>18</v>
      </c>
      <c r="J28" s="32">
        <v>3</v>
      </c>
      <c r="K28" s="32"/>
      <c r="L28" s="43">
        <v>2000</v>
      </c>
      <c r="M28" s="43">
        <v>4000</v>
      </c>
      <c r="N28" s="43">
        <v>4000</v>
      </c>
      <c r="O28" s="43">
        <v>5000</v>
      </c>
      <c r="P28" s="43">
        <v>5000</v>
      </c>
      <c r="Q28" s="43">
        <v>5200</v>
      </c>
    </row>
    <row r="29" spans="1:19" x14ac:dyDescent="0.25">
      <c r="A29" s="31" t="s">
        <v>762</v>
      </c>
      <c r="B29" s="31" t="s">
        <v>11</v>
      </c>
      <c r="C29" s="31" t="s">
        <v>12</v>
      </c>
      <c r="D29" s="31" t="s">
        <v>28</v>
      </c>
      <c r="E29" s="31" t="s">
        <v>69</v>
      </c>
      <c r="F29" s="31" t="s">
        <v>15</v>
      </c>
      <c r="G29" s="31" t="s">
        <v>16</v>
      </c>
      <c r="H29" s="31" t="s">
        <v>720</v>
      </c>
      <c r="I29" s="32" t="s">
        <v>18</v>
      </c>
      <c r="J29" s="32">
        <v>3</v>
      </c>
      <c r="K29" s="32"/>
      <c r="L29" s="43">
        <v>20000</v>
      </c>
      <c r="M29" s="43">
        <v>20000</v>
      </c>
      <c r="N29" s="43">
        <v>20000</v>
      </c>
      <c r="O29" s="43">
        <v>20000</v>
      </c>
      <c r="P29" s="43">
        <v>22000</v>
      </c>
      <c r="Q29" s="43">
        <v>23000</v>
      </c>
    </row>
    <row r="30" spans="1:19" x14ac:dyDescent="0.25">
      <c r="A30" s="31" t="s">
        <v>764</v>
      </c>
      <c r="B30" s="31" t="s">
        <v>11</v>
      </c>
      <c r="C30" s="31" t="s">
        <v>12</v>
      </c>
      <c r="D30" s="31" t="s">
        <v>13</v>
      </c>
      <c r="E30" s="31" t="s">
        <v>69</v>
      </c>
      <c r="F30" s="31" t="s">
        <v>15</v>
      </c>
      <c r="G30" s="31" t="s">
        <v>16</v>
      </c>
      <c r="H30" s="31" t="s">
        <v>720</v>
      </c>
      <c r="I30" s="32" t="s">
        <v>18</v>
      </c>
      <c r="J30" s="32">
        <v>3</v>
      </c>
      <c r="K30" s="32"/>
      <c r="L30" s="43">
        <v>20000</v>
      </c>
      <c r="M30" s="43">
        <v>22000</v>
      </c>
      <c r="N30" s="43">
        <v>22000</v>
      </c>
      <c r="O30" s="43">
        <v>22000</v>
      </c>
      <c r="P30" s="43">
        <v>23000</v>
      </c>
      <c r="Q30" s="43">
        <v>24000</v>
      </c>
    </row>
    <row r="31" spans="1:19" x14ac:dyDescent="0.25">
      <c r="A31" s="31" t="s">
        <v>763</v>
      </c>
      <c r="B31" s="31" t="s">
        <v>11</v>
      </c>
      <c r="C31" s="31" t="s">
        <v>12</v>
      </c>
      <c r="D31" s="31" t="s">
        <v>32</v>
      </c>
      <c r="E31" s="31" t="s">
        <v>69</v>
      </c>
      <c r="F31" s="31" t="s">
        <v>15</v>
      </c>
      <c r="G31" s="31" t="s">
        <v>16</v>
      </c>
      <c r="H31" s="31" t="s">
        <v>720</v>
      </c>
      <c r="I31" s="32" t="s">
        <v>18</v>
      </c>
      <c r="J31" s="32">
        <v>3</v>
      </c>
      <c r="K31" s="32"/>
      <c r="L31" s="43">
        <v>10000</v>
      </c>
      <c r="M31" s="43">
        <v>0</v>
      </c>
      <c r="N31" s="43">
        <v>0</v>
      </c>
      <c r="O31" s="43">
        <v>10000</v>
      </c>
      <c r="P31" s="43">
        <v>15000</v>
      </c>
      <c r="Q31" s="43">
        <v>16000</v>
      </c>
    </row>
    <row r="32" spans="1:19" x14ac:dyDescent="0.25">
      <c r="A32" s="31" t="s">
        <v>761</v>
      </c>
      <c r="B32" s="31" t="s">
        <v>11</v>
      </c>
      <c r="C32" s="31" t="s">
        <v>12</v>
      </c>
      <c r="D32" s="31" t="s">
        <v>26</v>
      </c>
      <c r="E32" s="31" t="s">
        <v>69</v>
      </c>
      <c r="F32" s="31" t="s">
        <v>15</v>
      </c>
      <c r="G32" s="31" t="s">
        <v>16</v>
      </c>
      <c r="H32" s="31" t="s">
        <v>720</v>
      </c>
      <c r="I32" s="32" t="s">
        <v>18</v>
      </c>
      <c r="J32" s="32">
        <v>3</v>
      </c>
      <c r="K32" s="32"/>
      <c r="L32" s="43">
        <v>5000</v>
      </c>
      <c r="M32" s="43">
        <v>0</v>
      </c>
      <c r="N32" s="43">
        <v>0</v>
      </c>
      <c r="O32" s="43">
        <v>5000</v>
      </c>
      <c r="P32" s="43">
        <v>6000</v>
      </c>
      <c r="Q32" s="43">
        <v>6500</v>
      </c>
    </row>
    <row r="33" spans="1:17" x14ac:dyDescent="0.25">
      <c r="A33" s="31" t="s">
        <v>766</v>
      </c>
      <c r="B33" s="31" t="s">
        <v>11</v>
      </c>
      <c r="C33" s="31" t="s">
        <v>12</v>
      </c>
      <c r="D33" s="31" t="s">
        <v>22</v>
      </c>
      <c r="E33" s="31" t="s">
        <v>69</v>
      </c>
      <c r="F33" s="31" t="s">
        <v>15</v>
      </c>
      <c r="G33" s="31" t="s">
        <v>16</v>
      </c>
      <c r="H33" s="31" t="s">
        <v>720</v>
      </c>
      <c r="I33" s="32" t="s">
        <v>18</v>
      </c>
      <c r="J33" s="32">
        <v>3</v>
      </c>
      <c r="K33" s="32"/>
      <c r="L33" s="43">
        <v>5000</v>
      </c>
      <c r="M33" s="43">
        <v>6200</v>
      </c>
      <c r="N33" s="43">
        <v>6200</v>
      </c>
      <c r="O33" s="43">
        <v>7000</v>
      </c>
      <c r="P33" s="43">
        <v>7100</v>
      </c>
      <c r="Q33" s="43">
        <v>8000</v>
      </c>
    </row>
    <row r="34" spans="1:17" hidden="1" x14ac:dyDescent="0.25">
      <c r="A34" s="31" t="s">
        <v>773</v>
      </c>
      <c r="B34" s="31" t="s">
        <v>11</v>
      </c>
      <c r="C34" s="31" t="s">
        <v>12</v>
      </c>
      <c r="D34" s="31" t="s">
        <v>774</v>
      </c>
      <c r="E34" s="31" t="s">
        <v>87</v>
      </c>
      <c r="F34" s="31" t="s">
        <v>295</v>
      </c>
      <c r="G34" s="31" t="s">
        <v>16</v>
      </c>
      <c r="H34" s="31" t="s">
        <v>720</v>
      </c>
      <c r="I34" s="32" t="s">
        <v>38</v>
      </c>
      <c r="J34" s="32">
        <v>1</v>
      </c>
      <c r="K34" s="32"/>
    </row>
    <row r="36" spans="1:17" ht="15.75" thickBot="1" x14ac:dyDescent="0.3">
      <c r="A36" s="93" t="s">
        <v>1203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1">
        <f>SUM(L12:L35)</f>
        <v>2633609.2081440007</v>
      </c>
      <c r="M36" s="91">
        <f t="shared" ref="M36:Q36" si="6">SUM(M12:M35)</f>
        <v>2530389.4768367996</v>
      </c>
      <c r="N36" s="91">
        <f t="shared" si="6"/>
        <v>2530389.4768367996</v>
      </c>
      <c r="O36" s="91">
        <f t="shared" si="6"/>
        <v>2483711.1994471992</v>
      </c>
      <c r="P36" s="91">
        <f t="shared" si="6"/>
        <v>2599170.4922228768</v>
      </c>
      <c r="Q36" s="91">
        <f t="shared" si="6"/>
        <v>2717219.6643729052</v>
      </c>
    </row>
  </sheetData>
  <sortState xmlns:xlrd2="http://schemas.microsoft.com/office/spreadsheetml/2017/richdata2" ref="A2:Z26">
    <sortCondition ref="D2:D26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S38"/>
  <sheetViews>
    <sheetView zoomScale="110" zoomScaleNormal="110" workbookViewId="0">
      <pane ySplit="4" topLeftCell="A16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2" width="22.125" style="35" hidden="1" customWidth="1"/>
    <col min="3" max="3" width="0" style="35" hidden="1" customWidth="1"/>
    <col min="4" max="4" width="42.875" style="35" customWidth="1"/>
    <col min="5" max="5" width="27.375" style="35" hidden="1" customWidth="1"/>
    <col min="6" max="11" width="9.125" style="35" hidden="1" customWidth="1"/>
    <col min="12" max="12" width="12.625" style="35" bestFit="1" customWidth="1"/>
    <col min="13" max="13" width="13" style="35" customWidth="1"/>
    <col min="14" max="17" width="13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715</v>
      </c>
      <c r="B3" s="72"/>
      <c r="C3" s="72"/>
      <c r="D3" s="72"/>
    </row>
    <row r="4" spans="1:19" ht="61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777</v>
      </c>
      <c r="B6" s="31" t="s">
        <v>290</v>
      </c>
      <c r="C6" s="31" t="s">
        <v>347</v>
      </c>
      <c r="D6" s="31" t="s">
        <v>1613</v>
      </c>
      <c r="E6" s="31" t="s">
        <v>714</v>
      </c>
      <c r="F6" s="31" t="s">
        <v>292</v>
      </c>
      <c r="G6" s="31" t="s">
        <v>16</v>
      </c>
      <c r="H6" s="31" t="s">
        <v>715</v>
      </c>
      <c r="I6" s="32" t="s">
        <v>18</v>
      </c>
      <c r="J6" s="32">
        <v>3</v>
      </c>
      <c r="K6" s="32"/>
      <c r="L6" s="43">
        <v>120201</v>
      </c>
      <c r="M6" s="105">
        <v>120201</v>
      </c>
      <c r="N6" s="105">
        <v>120201</v>
      </c>
      <c r="O6" s="105">
        <v>100000</v>
      </c>
      <c r="P6" s="105">
        <v>110000</v>
      </c>
      <c r="Q6" s="105">
        <v>120000</v>
      </c>
    </row>
    <row r="7" spans="1:19" x14ac:dyDescent="0.25">
      <c r="A7" s="31" t="s">
        <v>778</v>
      </c>
      <c r="B7" s="31" t="s">
        <v>290</v>
      </c>
      <c r="C7" s="31" t="s">
        <v>486</v>
      </c>
      <c r="D7" s="31" t="s">
        <v>1612</v>
      </c>
      <c r="E7" s="31" t="s">
        <v>714</v>
      </c>
      <c r="F7" s="31" t="s">
        <v>292</v>
      </c>
      <c r="G7" s="31" t="s">
        <v>16</v>
      </c>
      <c r="H7" s="31" t="s">
        <v>715</v>
      </c>
      <c r="I7" s="32" t="s">
        <v>18</v>
      </c>
      <c r="J7" s="32">
        <v>3</v>
      </c>
      <c r="K7" s="32"/>
      <c r="L7" s="43">
        <v>250000</v>
      </c>
      <c r="M7" s="105">
        <v>200000</v>
      </c>
      <c r="N7" s="105">
        <v>200000</v>
      </c>
      <c r="O7" s="105">
        <v>250000</v>
      </c>
      <c r="P7" s="105">
        <v>260000</v>
      </c>
      <c r="Q7" s="105">
        <v>270000</v>
      </c>
    </row>
    <row r="8" spans="1:19" s="107" customFormat="1" x14ac:dyDescent="0.25">
      <c r="A8" s="52" t="s">
        <v>2055</v>
      </c>
      <c r="B8" s="52"/>
      <c r="C8" s="52"/>
      <c r="D8" s="115" t="s">
        <v>2053</v>
      </c>
      <c r="E8" s="52"/>
      <c r="F8" s="52"/>
      <c r="G8" s="52"/>
      <c r="H8" s="52"/>
      <c r="I8" s="104"/>
      <c r="J8" s="104"/>
      <c r="K8" s="104"/>
      <c r="L8" s="105">
        <f>21648+110000</f>
        <v>131648</v>
      </c>
      <c r="M8" s="105">
        <v>65000</v>
      </c>
      <c r="N8" s="105">
        <v>65000</v>
      </c>
      <c r="O8" s="105">
        <v>70000</v>
      </c>
      <c r="P8" s="105">
        <v>75000</v>
      </c>
      <c r="Q8" s="105">
        <v>80000</v>
      </c>
      <c r="S8" s="106"/>
    </row>
    <row r="9" spans="1:19" s="107" customFormat="1" hidden="1" x14ac:dyDescent="0.25">
      <c r="A9" s="52"/>
      <c r="B9" s="52"/>
      <c r="C9" s="52"/>
      <c r="D9" s="115"/>
      <c r="E9" s="52"/>
      <c r="F9" s="52"/>
      <c r="G9" s="52"/>
      <c r="H9" s="52"/>
      <c r="I9" s="104"/>
      <c r="J9" s="104"/>
      <c r="K9" s="104"/>
      <c r="L9" s="140"/>
      <c r="S9" s="106"/>
    </row>
    <row r="10" spans="1:19" hidden="1" x14ac:dyDescent="0.25">
      <c r="A10" s="31"/>
      <c r="B10" s="31"/>
      <c r="C10" s="31"/>
      <c r="D10" s="31"/>
      <c r="E10" s="31"/>
      <c r="F10" s="31"/>
      <c r="G10" s="31"/>
      <c r="H10" s="31"/>
      <c r="I10" s="32"/>
      <c r="J10" s="32"/>
      <c r="K10" s="32"/>
    </row>
    <row r="11" spans="1:19" x14ac:dyDescent="0.25">
      <c r="A11" s="95" t="s">
        <v>1609</v>
      </c>
      <c r="B11" s="95"/>
      <c r="C11" s="95"/>
      <c r="D11" s="95"/>
      <c r="E11" s="95"/>
      <c r="F11" s="95"/>
      <c r="G11" s="95"/>
      <c r="H11" s="95"/>
      <c r="L11" s="97">
        <f>SUM(L6:L9)</f>
        <v>501849</v>
      </c>
      <c r="M11" s="97">
        <f>SUM(M6:M9)</f>
        <v>385201</v>
      </c>
      <c r="N11" s="97">
        <f>SUM(N6:N9)</f>
        <v>385201</v>
      </c>
      <c r="O11" s="97">
        <f t="shared" ref="O11:Q11" si="0">SUM(O6:O9)</f>
        <v>420000</v>
      </c>
      <c r="P11" s="97">
        <f t="shared" si="0"/>
        <v>445000</v>
      </c>
      <c r="Q11" s="97">
        <f t="shared" si="0"/>
        <v>470000</v>
      </c>
    </row>
    <row r="12" spans="1:19" x14ac:dyDescent="0.25">
      <c r="A12" s="31"/>
      <c r="B12" s="31"/>
      <c r="C12" s="31"/>
      <c r="D12" s="31"/>
      <c r="E12" s="31"/>
      <c r="F12" s="31"/>
      <c r="G12" s="31"/>
      <c r="H12" s="31"/>
      <c r="I12" s="32"/>
      <c r="J12" s="32"/>
      <c r="K12" s="32"/>
    </row>
    <row r="13" spans="1:19" x14ac:dyDescent="0.25">
      <c r="A13" s="31" t="s">
        <v>805</v>
      </c>
      <c r="B13" s="31" t="s">
        <v>11</v>
      </c>
      <c r="C13" s="31" t="s">
        <v>12</v>
      </c>
      <c r="D13" s="31" t="s">
        <v>157</v>
      </c>
      <c r="E13" s="31" t="s">
        <v>714</v>
      </c>
      <c r="F13" s="31" t="s">
        <v>15</v>
      </c>
      <c r="G13" s="31" t="s">
        <v>16</v>
      </c>
      <c r="H13" s="31" t="s">
        <v>715</v>
      </c>
      <c r="I13" s="32" t="s">
        <v>18</v>
      </c>
      <c r="J13" s="32">
        <v>3</v>
      </c>
      <c r="K13" s="32"/>
      <c r="L13" s="34">
        <v>2680797.62952</v>
      </c>
      <c r="M13" s="34">
        <v>2353685.5199999996</v>
      </c>
      <c r="N13" s="34">
        <v>2353685.5199999996</v>
      </c>
      <c r="O13" s="34">
        <f>S13</f>
        <v>2780242.4518799996</v>
      </c>
      <c r="P13" s="34">
        <f>O13*1.044</f>
        <v>2902573.1197627196</v>
      </c>
      <c r="Q13" s="34">
        <f>P13*1.045</f>
        <v>3033188.9101520418</v>
      </c>
      <c r="S13" s="145">
        <f>'[1]6155TOWN'!$E$10</f>
        <v>2780242.4518799996</v>
      </c>
    </row>
    <row r="14" spans="1:19" hidden="1" x14ac:dyDescent="0.25">
      <c r="A14" s="31" t="s">
        <v>780</v>
      </c>
      <c r="B14" s="31" t="s">
        <v>11</v>
      </c>
      <c r="C14" s="31" t="s">
        <v>12</v>
      </c>
      <c r="D14" s="31" t="s">
        <v>86</v>
      </c>
      <c r="E14" s="31" t="s">
        <v>637</v>
      </c>
      <c r="F14" s="31" t="s">
        <v>37</v>
      </c>
      <c r="G14" s="31" t="s">
        <v>16</v>
      </c>
      <c r="H14" s="31" t="s">
        <v>715</v>
      </c>
      <c r="I14" s="32" t="s">
        <v>38</v>
      </c>
      <c r="J14" s="32">
        <v>1</v>
      </c>
      <c r="K14" s="32"/>
      <c r="L14" s="34"/>
      <c r="M14" s="34">
        <v>0</v>
      </c>
      <c r="N14" s="34">
        <v>0</v>
      </c>
      <c r="O14" s="34"/>
      <c r="P14" s="34"/>
      <c r="Q14" s="34"/>
      <c r="S14" s="145"/>
    </row>
    <row r="15" spans="1:19" x14ac:dyDescent="0.25">
      <c r="A15" s="31" t="s">
        <v>815</v>
      </c>
      <c r="B15" s="31" t="s">
        <v>11</v>
      </c>
      <c r="C15" s="31" t="s">
        <v>12</v>
      </c>
      <c r="D15" s="31" t="s">
        <v>1630</v>
      </c>
      <c r="E15" s="31" t="s">
        <v>714</v>
      </c>
      <c r="F15" s="31" t="s">
        <v>15</v>
      </c>
      <c r="G15" s="31" t="s">
        <v>16</v>
      </c>
      <c r="H15" s="31" t="s">
        <v>715</v>
      </c>
      <c r="I15" s="32" t="s">
        <v>18</v>
      </c>
      <c r="J15" s="32">
        <v>3</v>
      </c>
      <c r="K15" s="32"/>
      <c r="L15" s="34">
        <v>20000</v>
      </c>
      <c r="M15" s="34">
        <v>100000</v>
      </c>
      <c r="N15" s="34">
        <v>100000</v>
      </c>
      <c r="O15" s="34">
        <v>50000</v>
      </c>
      <c r="P15" s="34">
        <v>55000</v>
      </c>
      <c r="Q15" s="34">
        <v>60000</v>
      </c>
      <c r="S15" s="145"/>
    </row>
    <row r="16" spans="1:19" x14ac:dyDescent="0.25">
      <c r="A16" s="31" t="s">
        <v>809</v>
      </c>
      <c r="B16" s="31" t="s">
        <v>11</v>
      </c>
      <c r="C16" s="31" t="s">
        <v>12</v>
      </c>
      <c r="D16" s="31" t="s">
        <v>153</v>
      </c>
      <c r="E16" s="31" t="s">
        <v>714</v>
      </c>
      <c r="F16" s="31" t="s">
        <v>15</v>
      </c>
      <c r="G16" s="31" t="s">
        <v>16</v>
      </c>
      <c r="H16" s="31" t="s">
        <v>715</v>
      </c>
      <c r="I16" s="32" t="s">
        <v>18</v>
      </c>
      <c r="J16" s="32">
        <v>3</v>
      </c>
      <c r="K16" s="32"/>
      <c r="L16" s="34">
        <v>223399.80245999998</v>
      </c>
      <c r="M16" s="34">
        <v>212650.11</v>
      </c>
      <c r="N16" s="34">
        <v>212650.11</v>
      </c>
      <c r="O16" s="34">
        <f>S16</f>
        <v>231686.87099</v>
      </c>
      <c r="P16" s="34">
        <f>O16*1.044</f>
        <v>241881.09331356001</v>
      </c>
      <c r="Q16" s="34">
        <f>P16*1.045</f>
        <v>252765.7425126702</v>
      </c>
      <c r="S16" s="145">
        <f>'[1]6155TOWN'!$I$10</f>
        <v>231686.87099</v>
      </c>
    </row>
    <row r="17" spans="1:19" x14ac:dyDescent="0.25">
      <c r="A17" s="31" t="s">
        <v>808</v>
      </c>
      <c r="B17" s="31" t="s">
        <v>11</v>
      </c>
      <c r="C17" s="31" t="s">
        <v>12</v>
      </c>
      <c r="D17" s="31" t="s">
        <v>155</v>
      </c>
      <c r="E17" s="31" t="s">
        <v>714</v>
      </c>
      <c r="F17" s="31" t="s">
        <v>15</v>
      </c>
      <c r="G17" s="31" t="s">
        <v>16</v>
      </c>
      <c r="H17" s="31" t="s">
        <v>715</v>
      </c>
      <c r="I17" s="32" t="s">
        <v>18</v>
      </c>
      <c r="J17" s="32">
        <v>3</v>
      </c>
      <c r="K17" s="32"/>
      <c r="L17" s="34">
        <v>87016.085371199995</v>
      </c>
      <c r="M17" s="34">
        <v>86114.872091199999</v>
      </c>
      <c r="N17" s="34">
        <v>86114.872091199999</v>
      </c>
      <c r="O17" s="34">
        <f t="shared" ref="O17:O27" si="1">S17</f>
        <v>0</v>
      </c>
      <c r="P17" s="34">
        <f t="shared" ref="P17:P27" si="2">O17*1.044</f>
        <v>0</v>
      </c>
      <c r="Q17" s="34">
        <f t="shared" ref="Q17:Q27" si="3">P17*1.045</f>
        <v>0</v>
      </c>
      <c r="S17" s="145">
        <f>'[2]6155TOWN'!$J$10</f>
        <v>0</v>
      </c>
    </row>
    <row r="18" spans="1:19" x14ac:dyDescent="0.25">
      <c r="A18" s="31" t="s">
        <v>811</v>
      </c>
      <c r="B18" s="31" t="s">
        <v>11</v>
      </c>
      <c r="C18" s="31" t="s">
        <v>12</v>
      </c>
      <c r="D18" s="31" t="s">
        <v>41</v>
      </c>
      <c r="E18" s="31" t="s">
        <v>714</v>
      </c>
      <c r="F18" s="31" t="s">
        <v>15</v>
      </c>
      <c r="G18" s="31" t="s">
        <v>16</v>
      </c>
      <c r="H18" s="31" t="s">
        <v>715</v>
      </c>
      <c r="I18" s="32" t="s">
        <v>18</v>
      </c>
      <c r="J18" s="32">
        <v>3</v>
      </c>
      <c r="K18" s="32"/>
      <c r="L18" s="34">
        <v>589775.47849439993</v>
      </c>
      <c r="M18" s="34">
        <v>497504.076</v>
      </c>
      <c r="N18" s="34">
        <v>497504.076</v>
      </c>
      <c r="O18" s="34">
        <f t="shared" si="1"/>
        <v>611653.33941360004</v>
      </c>
      <c r="P18" s="34">
        <f t="shared" si="2"/>
        <v>638566.08634779847</v>
      </c>
      <c r="Q18" s="34">
        <f t="shared" si="3"/>
        <v>667301.56023344933</v>
      </c>
      <c r="S18" s="145">
        <f>'[1]6155TOWN'!$K$10</f>
        <v>611653.33941360004</v>
      </c>
    </row>
    <row r="19" spans="1:19" x14ac:dyDescent="0.25">
      <c r="A19" s="31" t="s">
        <v>812</v>
      </c>
      <c r="B19" s="31" t="s">
        <v>11</v>
      </c>
      <c r="C19" s="31" t="s">
        <v>12</v>
      </c>
      <c r="D19" s="31" t="s">
        <v>36</v>
      </c>
      <c r="E19" s="31" t="s">
        <v>714</v>
      </c>
      <c r="F19" s="31" t="s">
        <v>15</v>
      </c>
      <c r="G19" s="31" t="s">
        <v>16</v>
      </c>
      <c r="H19" s="31" t="s">
        <v>715</v>
      </c>
      <c r="I19" s="32" t="s">
        <v>18</v>
      </c>
      <c r="J19" s="32">
        <v>3</v>
      </c>
      <c r="K19" s="32"/>
      <c r="L19" s="34">
        <v>118720.8</v>
      </c>
      <c r="M19" s="34">
        <v>150754.79999999999</v>
      </c>
      <c r="N19" s="34">
        <v>150754.79999999999</v>
      </c>
      <c r="O19" s="34">
        <f t="shared" si="1"/>
        <v>150328.79999999999</v>
      </c>
      <c r="P19" s="34">
        <f t="shared" si="2"/>
        <v>156943.2672</v>
      </c>
      <c r="Q19" s="34">
        <f t="shared" si="3"/>
        <v>164005.714224</v>
      </c>
      <c r="S19" s="145">
        <f>'[1]6155TOWN'!$L$10</f>
        <v>150328.79999999999</v>
      </c>
    </row>
    <row r="20" spans="1:19" x14ac:dyDescent="0.25">
      <c r="A20" s="31" t="s">
        <v>806</v>
      </c>
      <c r="B20" s="31" t="s">
        <v>11</v>
      </c>
      <c r="C20" s="31" t="s">
        <v>12</v>
      </c>
      <c r="D20" s="31" t="s">
        <v>47</v>
      </c>
      <c r="E20" s="31" t="s">
        <v>714</v>
      </c>
      <c r="F20" s="31" t="s">
        <v>15</v>
      </c>
      <c r="G20" s="31" t="s">
        <v>16</v>
      </c>
      <c r="H20" s="31" t="s">
        <v>715</v>
      </c>
      <c r="I20" s="32" t="s">
        <v>18</v>
      </c>
      <c r="J20" s="32">
        <v>3</v>
      </c>
      <c r="K20" s="32"/>
      <c r="L20" s="34">
        <v>360550.92000000004</v>
      </c>
      <c r="M20" s="34">
        <v>258464.19</v>
      </c>
      <c r="N20" s="34">
        <v>258464.19</v>
      </c>
      <c r="O20" s="34">
        <f t="shared" si="1"/>
        <v>386179.44743999996</v>
      </c>
      <c r="P20" s="34">
        <f t="shared" si="2"/>
        <v>403171.34312735999</v>
      </c>
      <c r="Q20" s="34">
        <f t="shared" si="3"/>
        <v>421314.05356809113</v>
      </c>
      <c r="S20" s="145">
        <f>'[1]6155TOWN'!$M$10</f>
        <v>386179.44743999996</v>
      </c>
    </row>
    <row r="21" spans="1:19" x14ac:dyDescent="0.25">
      <c r="A21" s="31" t="s">
        <v>783</v>
      </c>
      <c r="B21" s="31" t="s">
        <v>11</v>
      </c>
      <c r="C21" s="31" t="s">
        <v>12</v>
      </c>
      <c r="D21" s="31" t="s">
        <v>45</v>
      </c>
      <c r="E21" s="31" t="s">
        <v>637</v>
      </c>
      <c r="F21" s="31" t="s">
        <v>37</v>
      </c>
      <c r="G21" s="31" t="s">
        <v>16</v>
      </c>
      <c r="H21" s="31" t="s">
        <v>715</v>
      </c>
      <c r="I21" s="32" t="s">
        <v>38</v>
      </c>
      <c r="J21" s="32">
        <v>3</v>
      </c>
      <c r="K21" s="32"/>
      <c r="L21" s="34">
        <v>20778.72</v>
      </c>
      <c r="M21" s="34">
        <v>15907.89</v>
      </c>
      <c r="N21" s="34">
        <v>15907.89</v>
      </c>
      <c r="O21" s="34">
        <f t="shared" si="1"/>
        <v>23034.655319999998</v>
      </c>
      <c r="P21" s="34">
        <f t="shared" si="2"/>
        <v>24048.180154080001</v>
      </c>
      <c r="Q21" s="34">
        <f t="shared" si="3"/>
        <v>25130.348261013598</v>
      </c>
      <c r="S21" s="145">
        <f>'[1]6155TOWN'!$N$10</f>
        <v>23034.655319999998</v>
      </c>
    </row>
    <row r="22" spans="1:19" x14ac:dyDescent="0.25">
      <c r="A22" s="31" t="s">
        <v>807</v>
      </c>
      <c r="B22" s="31" t="s">
        <v>11</v>
      </c>
      <c r="C22" s="31" t="s">
        <v>12</v>
      </c>
      <c r="D22" s="31" t="s">
        <v>156</v>
      </c>
      <c r="E22" s="31" t="s">
        <v>714</v>
      </c>
      <c r="F22" s="31" t="s">
        <v>15</v>
      </c>
      <c r="G22" s="31" t="s">
        <v>16</v>
      </c>
      <c r="H22" s="31" t="s">
        <v>715</v>
      </c>
      <c r="I22" s="32" t="s">
        <v>18</v>
      </c>
      <c r="J22" s="32">
        <v>3</v>
      </c>
      <c r="K22" s="32"/>
      <c r="L22" s="34">
        <v>24282.503759999996</v>
      </c>
      <c r="M22" s="34">
        <v>46110.239999999991</v>
      </c>
      <c r="N22" s="34">
        <v>46110.239999999991</v>
      </c>
      <c r="O22" s="34">
        <f t="shared" si="1"/>
        <v>48555.314759999994</v>
      </c>
      <c r="P22" s="34">
        <f t="shared" si="2"/>
        <v>50691.748609439994</v>
      </c>
      <c r="Q22" s="34">
        <f t="shared" si="3"/>
        <v>52972.87729686479</v>
      </c>
      <c r="S22" s="145">
        <f>'[1]6155TOWN'!$P$10</f>
        <v>48555.314759999994</v>
      </c>
    </row>
    <row r="23" spans="1:19" x14ac:dyDescent="0.25">
      <c r="A23" s="31" t="s">
        <v>813</v>
      </c>
      <c r="B23" s="31" t="s">
        <v>11</v>
      </c>
      <c r="C23" s="31" t="s">
        <v>12</v>
      </c>
      <c r="D23" s="31" t="s">
        <v>151</v>
      </c>
      <c r="E23" s="31" t="s">
        <v>714</v>
      </c>
      <c r="F23" s="31" t="s">
        <v>15</v>
      </c>
      <c r="G23" s="31" t="s">
        <v>16</v>
      </c>
      <c r="H23" s="31" t="s">
        <v>715</v>
      </c>
      <c r="I23" s="32" t="s">
        <v>18</v>
      </c>
      <c r="J23" s="32">
        <v>3</v>
      </c>
      <c r="K23" s="32"/>
      <c r="L23" s="34">
        <v>831.59999999999991</v>
      </c>
      <c r="M23" s="34">
        <v>772.5</v>
      </c>
      <c r="N23" s="34">
        <v>772.5</v>
      </c>
      <c r="O23" s="34">
        <f t="shared" si="1"/>
        <v>865.2</v>
      </c>
      <c r="P23" s="34">
        <f t="shared" si="2"/>
        <v>903.26880000000006</v>
      </c>
      <c r="Q23" s="34">
        <f t="shared" si="3"/>
        <v>943.91589599999998</v>
      </c>
      <c r="S23" s="145">
        <f>'[1]6155TOWN'!$R$10</f>
        <v>865.2</v>
      </c>
    </row>
    <row r="24" spans="1:19" x14ac:dyDescent="0.25">
      <c r="A24" s="31" t="s">
        <v>810</v>
      </c>
      <c r="B24" s="31" t="s">
        <v>11</v>
      </c>
      <c r="C24" s="31" t="s">
        <v>12</v>
      </c>
      <c r="D24" s="31" t="s">
        <v>43</v>
      </c>
      <c r="E24" s="31" t="s">
        <v>714</v>
      </c>
      <c r="F24" s="31" t="s">
        <v>15</v>
      </c>
      <c r="G24" s="31" t="s">
        <v>16</v>
      </c>
      <c r="H24" s="31" t="s">
        <v>715</v>
      </c>
      <c r="I24" s="32" t="s">
        <v>18</v>
      </c>
      <c r="J24" s="32">
        <v>3</v>
      </c>
      <c r="K24" s="32"/>
      <c r="L24" s="34">
        <v>10481.52</v>
      </c>
      <c r="M24" s="34">
        <v>15550.152</v>
      </c>
      <c r="N24" s="34">
        <v>15550.152</v>
      </c>
      <c r="O24" s="34">
        <f t="shared" si="1"/>
        <v>10481.52</v>
      </c>
      <c r="P24" s="34">
        <f t="shared" si="2"/>
        <v>10942.706880000002</v>
      </c>
      <c r="Q24" s="34">
        <f t="shared" si="3"/>
        <v>11435.1286896</v>
      </c>
      <c r="S24" s="145">
        <f>'[1]6155TOWN'!$T$10</f>
        <v>10481.52</v>
      </c>
    </row>
    <row r="25" spans="1:19" x14ac:dyDescent="0.25">
      <c r="A25" s="31" t="s">
        <v>2123</v>
      </c>
      <c r="B25" s="31"/>
      <c r="C25" s="31"/>
      <c r="D25" s="31" t="s">
        <v>162</v>
      </c>
      <c r="E25" s="31"/>
      <c r="F25" s="31"/>
      <c r="G25" s="31"/>
      <c r="H25" s="31"/>
      <c r="I25" s="32"/>
      <c r="J25" s="32"/>
      <c r="K25" s="32"/>
      <c r="L25" s="34">
        <v>86307.778298880003</v>
      </c>
      <c r="M25" s="34">
        <v>86307.778298880003</v>
      </c>
      <c r="N25" s="34">
        <v>86307.778298880003</v>
      </c>
      <c r="O25" s="34">
        <f t="shared" si="1"/>
        <v>89073.57</v>
      </c>
      <c r="P25" s="34">
        <f t="shared" si="2"/>
        <v>92992.807080000013</v>
      </c>
      <c r="Q25" s="34">
        <f t="shared" si="3"/>
        <v>97177.483398600001</v>
      </c>
      <c r="S25" s="145">
        <f>'[1]6155TOWN'!$F$10</f>
        <v>89073.57</v>
      </c>
    </row>
    <row r="26" spans="1:19" x14ac:dyDescent="0.25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M26" s="34"/>
      <c r="N26" s="34"/>
      <c r="O26" s="34"/>
      <c r="P26" s="34"/>
      <c r="Q26" s="34"/>
      <c r="S26" s="145"/>
    </row>
    <row r="27" spans="1:19" x14ac:dyDescent="0.25">
      <c r="A27" s="31" t="s">
        <v>814</v>
      </c>
      <c r="B27" s="31" t="s">
        <v>11</v>
      </c>
      <c r="C27" s="31" t="s">
        <v>12</v>
      </c>
      <c r="D27" s="31" t="s">
        <v>30</v>
      </c>
      <c r="E27" s="31" t="s">
        <v>714</v>
      </c>
      <c r="F27" s="31" t="s">
        <v>15</v>
      </c>
      <c r="G27" s="31" t="s">
        <v>16</v>
      </c>
      <c r="H27" s="31" t="s">
        <v>715</v>
      </c>
      <c r="I27" s="32" t="s">
        <v>18</v>
      </c>
      <c r="J27" s="32">
        <v>3</v>
      </c>
      <c r="K27" s="32"/>
      <c r="L27" s="34">
        <v>26807.976295199995</v>
      </c>
      <c r="M27" s="34">
        <v>25975.448</v>
      </c>
      <c r="N27" s="34">
        <v>25975.448</v>
      </c>
      <c r="O27" s="34">
        <f t="shared" si="1"/>
        <v>27802.424518799995</v>
      </c>
      <c r="P27" s="34">
        <f t="shared" si="2"/>
        <v>29025.731197627196</v>
      </c>
      <c r="Q27" s="34">
        <f t="shared" si="3"/>
        <v>30331.889101520417</v>
      </c>
      <c r="S27" s="145">
        <f>'[1]6155TOWN'!$Q$10</f>
        <v>27802.424518799995</v>
      </c>
    </row>
    <row r="28" spans="1:19" x14ac:dyDescent="0.25">
      <c r="A28" s="31" t="s">
        <v>799</v>
      </c>
      <c r="B28" s="31" t="s">
        <v>11</v>
      </c>
      <c r="C28" s="31" t="s">
        <v>12</v>
      </c>
      <c r="D28" s="31" t="s">
        <v>20</v>
      </c>
      <c r="E28" s="31" t="s">
        <v>714</v>
      </c>
      <c r="F28" s="31" t="s">
        <v>15</v>
      </c>
      <c r="G28" s="31" t="s">
        <v>16</v>
      </c>
      <c r="H28" s="31" t="s">
        <v>715</v>
      </c>
      <c r="I28" s="32" t="s">
        <v>18</v>
      </c>
      <c r="J28" s="32">
        <v>3</v>
      </c>
      <c r="K28" s="32"/>
      <c r="L28" s="43">
        <v>1500</v>
      </c>
      <c r="M28" s="43">
        <v>1200</v>
      </c>
      <c r="N28" s="43">
        <v>1200</v>
      </c>
      <c r="O28" s="43">
        <v>2000</v>
      </c>
      <c r="P28" s="43">
        <v>2200</v>
      </c>
      <c r="Q28" s="43">
        <v>2300</v>
      </c>
    </row>
    <row r="29" spans="1:19" x14ac:dyDescent="0.25">
      <c r="A29" s="31" t="s">
        <v>800</v>
      </c>
      <c r="B29" s="31" t="s">
        <v>11</v>
      </c>
      <c r="C29" s="31" t="s">
        <v>12</v>
      </c>
      <c r="D29" s="31" t="s">
        <v>24</v>
      </c>
      <c r="E29" s="31" t="s">
        <v>714</v>
      </c>
      <c r="F29" s="31" t="s">
        <v>15</v>
      </c>
      <c r="G29" s="31" t="s">
        <v>16</v>
      </c>
      <c r="H29" s="31" t="s">
        <v>715</v>
      </c>
      <c r="I29" s="32" t="s">
        <v>18</v>
      </c>
      <c r="J29" s="32">
        <v>3</v>
      </c>
      <c r="K29" s="32"/>
      <c r="L29" s="43">
        <v>3000</v>
      </c>
      <c r="M29" s="43">
        <v>3000</v>
      </c>
      <c r="N29" s="43">
        <v>3000</v>
      </c>
      <c r="O29" s="43">
        <v>3000</v>
      </c>
      <c r="P29" s="43">
        <v>3000</v>
      </c>
      <c r="Q29" s="43">
        <v>3500</v>
      </c>
    </row>
    <row r="30" spans="1:19" x14ac:dyDescent="0.25">
      <c r="A30" s="31" t="s">
        <v>798</v>
      </c>
      <c r="B30" s="31" t="s">
        <v>11</v>
      </c>
      <c r="C30" s="31" t="s">
        <v>89</v>
      </c>
      <c r="D30" s="31" t="s">
        <v>28</v>
      </c>
      <c r="E30" s="31" t="s">
        <v>714</v>
      </c>
      <c r="F30" s="31" t="s">
        <v>15</v>
      </c>
      <c r="G30" s="31" t="s">
        <v>16</v>
      </c>
      <c r="H30" s="31" t="s">
        <v>715</v>
      </c>
      <c r="I30" s="32" t="s">
        <v>18</v>
      </c>
      <c r="J30" s="32">
        <v>3</v>
      </c>
      <c r="K30" s="32"/>
      <c r="L30" s="43">
        <v>20000</v>
      </c>
      <c r="M30" s="43">
        <v>20000</v>
      </c>
      <c r="N30" s="43">
        <v>20000</v>
      </c>
      <c r="O30" s="43">
        <v>20000</v>
      </c>
      <c r="P30" s="43">
        <v>23000</v>
      </c>
      <c r="Q30" s="43">
        <v>30000</v>
      </c>
    </row>
    <row r="31" spans="1:19" x14ac:dyDescent="0.25">
      <c r="A31" s="31" t="s">
        <v>803</v>
      </c>
      <c r="B31" s="31" t="s">
        <v>11</v>
      </c>
      <c r="C31" s="31" t="s">
        <v>12</v>
      </c>
      <c r="D31" s="31" t="s">
        <v>13</v>
      </c>
      <c r="E31" s="31" t="s">
        <v>714</v>
      </c>
      <c r="F31" s="31" t="s">
        <v>15</v>
      </c>
      <c r="G31" s="31" t="s">
        <v>16</v>
      </c>
      <c r="H31" s="31" t="s">
        <v>715</v>
      </c>
      <c r="I31" s="32" t="s">
        <v>18</v>
      </c>
      <c r="J31" s="32">
        <v>3</v>
      </c>
      <c r="K31" s="32"/>
      <c r="L31" s="43">
        <v>15000</v>
      </c>
      <c r="M31" s="43">
        <v>15000</v>
      </c>
      <c r="N31" s="43">
        <v>15000</v>
      </c>
      <c r="O31" s="43">
        <v>25000</v>
      </c>
      <c r="P31" s="43">
        <v>26000</v>
      </c>
      <c r="Q31" s="43">
        <v>27000</v>
      </c>
    </row>
    <row r="32" spans="1:19" hidden="1" x14ac:dyDescent="0.25">
      <c r="A32" s="31" t="s">
        <v>802</v>
      </c>
      <c r="B32" s="31" t="s">
        <v>11</v>
      </c>
      <c r="C32" s="31" t="s">
        <v>12</v>
      </c>
      <c r="D32" s="31" t="s">
        <v>32</v>
      </c>
      <c r="E32" s="31" t="s">
        <v>714</v>
      </c>
      <c r="F32" s="31" t="s">
        <v>15</v>
      </c>
      <c r="G32" s="31" t="s">
        <v>16</v>
      </c>
      <c r="H32" s="31" t="s">
        <v>715</v>
      </c>
      <c r="I32" s="32" t="s">
        <v>18</v>
      </c>
      <c r="J32" s="32">
        <v>3</v>
      </c>
      <c r="K32" s="32"/>
      <c r="L32" s="43">
        <v>0</v>
      </c>
      <c r="M32" s="43"/>
      <c r="N32" s="43"/>
      <c r="O32" s="43"/>
      <c r="P32" s="43"/>
      <c r="Q32" s="43"/>
    </row>
    <row r="33" spans="1:19" hidden="1" x14ac:dyDescent="0.25">
      <c r="A33" s="31" t="s">
        <v>801</v>
      </c>
      <c r="B33" s="31" t="s">
        <v>11</v>
      </c>
      <c r="C33" s="31" t="s">
        <v>12</v>
      </c>
      <c r="D33" s="31" t="s">
        <v>26</v>
      </c>
      <c r="E33" s="31" t="s">
        <v>714</v>
      </c>
      <c r="F33" s="31" t="s">
        <v>15</v>
      </c>
      <c r="G33" s="31" t="s">
        <v>16</v>
      </c>
      <c r="H33" s="31" t="s">
        <v>715</v>
      </c>
      <c r="I33" s="32" t="s">
        <v>18</v>
      </c>
      <c r="J33" s="32">
        <v>3</v>
      </c>
      <c r="K33" s="32"/>
      <c r="L33" s="43">
        <v>0</v>
      </c>
      <c r="M33" s="43"/>
      <c r="N33" s="43"/>
      <c r="O33" s="43"/>
      <c r="P33" s="43"/>
      <c r="Q33" s="43"/>
    </row>
    <row r="34" spans="1:19" x14ac:dyDescent="0.25">
      <c r="A34" s="31" t="s">
        <v>804</v>
      </c>
      <c r="B34" s="31" t="s">
        <v>11</v>
      </c>
      <c r="C34" s="31" t="s">
        <v>12</v>
      </c>
      <c r="D34" s="31" t="s">
        <v>22</v>
      </c>
      <c r="E34" s="31" t="s">
        <v>714</v>
      </c>
      <c r="F34" s="31" t="s">
        <v>15</v>
      </c>
      <c r="G34" s="31" t="s">
        <v>16</v>
      </c>
      <c r="H34" s="31" t="s">
        <v>715</v>
      </c>
      <c r="I34" s="32" t="s">
        <v>18</v>
      </c>
      <c r="J34" s="32">
        <v>3</v>
      </c>
      <c r="K34" s="32"/>
      <c r="L34" s="43">
        <v>2000</v>
      </c>
      <c r="M34" s="43">
        <v>6300</v>
      </c>
      <c r="N34" s="43">
        <v>6300</v>
      </c>
      <c r="O34" s="43">
        <v>6500</v>
      </c>
      <c r="P34" s="43">
        <v>6500</v>
      </c>
      <c r="Q34" s="43">
        <v>6600</v>
      </c>
    </row>
    <row r="35" spans="1:19" hidden="1" x14ac:dyDescent="0.25">
      <c r="A35" s="31" t="s">
        <v>781</v>
      </c>
      <c r="B35" s="31" t="s">
        <v>11</v>
      </c>
      <c r="C35" s="31" t="s">
        <v>12</v>
      </c>
      <c r="D35" s="31" t="s">
        <v>782</v>
      </c>
      <c r="E35" s="31" t="s">
        <v>637</v>
      </c>
      <c r="F35" s="31" t="s">
        <v>37</v>
      </c>
      <c r="G35" s="31" t="s">
        <v>16</v>
      </c>
      <c r="H35" s="31" t="s">
        <v>715</v>
      </c>
      <c r="I35" s="32" t="s">
        <v>38</v>
      </c>
      <c r="J35" s="32">
        <v>1</v>
      </c>
      <c r="K35" s="32"/>
      <c r="L35" s="54"/>
      <c r="M35" s="54"/>
      <c r="N35" s="54"/>
      <c r="O35" s="54"/>
      <c r="P35" s="54"/>
      <c r="Q35" s="54"/>
    </row>
    <row r="36" spans="1:19" s="107" customFormat="1" x14ac:dyDescent="0.25">
      <c r="A36" s="52" t="s">
        <v>779</v>
      </c>
      <c r="B36" s="52" t="s">
        <v>11</v>
      </c>
      <c r="C36" s="52" t="s">
        <v>12</v>
      </c>
      <c r="D36" s="52" t="s">
        <v>1687</v>
      </c>
      <c r="E36" s="52" t="s">
        <v>637</v>
      </c>
      <c r="F36" s="52" t="s">
        <v>295</v>
      </c>
      <c r="G36" s="52" t="s">
        <v>16</v>
      </c>
      <c r="H36" s="52" t="s">
        <v>715</v>
      </c>
      <c r="I36" s="104" t="s">
        <v>38</v>
      </c>
      <c r="J36" s="104">
        <v>1</v>
      </c>
      <c r="K36" s="104"/>
      <c r="L36" s="105">
        <v>500000</v>
      </c>
      <c r="M36" s="105">
        <v>500000</v>
      </c>
      <c r="N36" s="105">
        <v>500000</v>
      </c>
      <c r="O36" s="105">
        <v>500000</v>
      </c>
      <c r="P36" s="105">
        <v>700000</v>
      </c>
      <c r="Q36" s="105">
        <v>800000</v>
      </c>
      <c r="S36" s="106"/>
    </row>
    <row r="38" spans="1:19" ht="15.75" thickBot="1" x14ac:dyDescent="0.3">
      <c r="A38" s="93" t="s">
        <v>1203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1">
        <f>SUM(L13:L37)</f>
        <v>4791250.8141996805</v>
      </c>
      <c r="M38" s="91">
        <f t="shared" ref="M38:Q38" si="4">SUM(M13:M37)</f>
        <v>4395297.5763900792</v>
      </c>
      <c r="N38" s="91">
        <f t="shared" si="4"/>
        <v>4395297.5763900792</v>
      </c>
      <c r="O38" s="91">
        <f t="shared" si="4"/>
        <v>4966403.5943224002</v>
      </c>
      <c r="P38" s="91">
        <f t="shared" si="4"/>
        <v>5367439.3524725847</v>
      </c>
      <c r="Q38" s="91">
        <f t="shared" si="4"/>
        <v>5685967.6233338509</v>
      </c>
    </row>
  </sheetData>
  <sortState xmlns:xlrd2="http://schemas.microsoft.com/office/spreadsheetml/2017/richdata2" ref="A2:Z29">
    <sortCondition ref="D2:D29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V29"/>
  <sheetViews>
    <sheetView zoomScale="110" zoomScaleNormal="110" workbookViewId="0">
      <pane ySplit="4" topLeftCell="A7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2" width="0" style="35" hidden="1" customWidth="1"/>
    <col min="3" max="3" width="24.125" style="35" hidden="1" customWidth="1"/>
    <col min="4" max="4" width="28" style="35" bestFit="1" customWidth="1"/>
    <col min="5" max="5" width="20.375" style="35" hidden="1" customWidth="1"/>
    <col min="6" max="11" width="9.125" style="35" hidden="1" customWidth="1"/>
    <col min="12" max="12" width="11.625" style="35" bestFit="1" customWidth="1"/>
    <col min="13" max="13" width="13.25" style="35" customWidth="1"/>
    <col min="14" max="17" width="13.25" style="171" customWidth="1"/>
    <col min="18" max="18" width="9.125" style="35"/>
    <col min="19" max="19" width="11.125" style="37" bestFit="1" customWidth="1"/>
    <col min="20" max="16384" width="9.125" style="35"/>
  </cols>
  <sheetData>
    <row r="1" spans="1:22" ht="15.75" x14ac:dyDescent="0.25">
      <c r="A1" s="72" t="s">
        <v>1597</v>
      </c>
      <c r="B1" s="72"/>
      <c r="C1" s="72"/>
      <c r="D1" s="72"/>
    </row>
    <row r="2" spans="1:22" ht="15.75" x14ac:dyDescent="0.25">
      <c r="A2" s="19" t="s">
        <v>2342</v>
      </c>
      <c r="B2" s="46"/>
      <c r="C2" s="72"/>
      <c r="D2" s="72"/>
    </row>
    <row r="3" spans="1:22" ht="15.75" x14ac:dyDescent="0.25">
      <c r="A3" s="72" t="s">
        <v>818</v>
      </c>
      <c r="B3" s="72"/>
      <c r="C3" s="72"/>
      <c r="D3" s="72"/>
    </row>
    <row r="4" spans="1:22" ht="65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22" x14ac:dyDescent="0.25">
      <c r="A5" s="35" t="s">
        <v>1608</v>
      </c>
    </row>
    <row r="6" spans="1:22" x14ac:dyDescent="0.25">
      <c r="A6" s="31" t="s">
        <v>833</v>
      </c>
      <c r="B6" s="31" t="s">
        <v>290</v>
      </c>
      <c r="C6" s="31" t="s">
        <v>607</v>
      </c>
      <c r="D6" s="31" t="s">
        <v>1614</v>
      </c>
      <c r="E6" s="31" t="s">
        <v>817</v>
      </c>
      <c r="F6" s="31" t="s">
        <v>295</v>
      </c>
      <c r="G6" s="31" t="s">
        <v>16</v>
      </c>
      <c r="H6" s="31" t="s">
        <v>818</v>
      </c>
      <c r="I6" s="32" t="s">
        <v>38</v>
      </c>
      <c r="J6" s="32">
        <v>1</v>
      </c>
      <c r="K6" s="32"/>
      <c r="L6" s="43">
        <v>3376</v>
      </c>
      <c r="M6" s="105">
        <v>800</v>
      </c>
      <c r="N6" s="105">
        <v>800</v>
      </c>
      <c r="O6" s="105">
        <v>1600</v>
      </c>
      <c r="P6" s="105">
        <v>2000</v>
      </c>
      <c r="Q6" s="105">
        <v>2500</v>
      </c>
    </row>
    <row r="7" spans="1:22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22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3376</v>
      </c>
      <c r="M8" s="97">
        <f t="shared" si="0"/>
        <v>800</v>
      </c>
      <c r="N8" s="97">
        <f t="shared" si="0"/>
        <v>800</v>
      </c>
      <c r="O8" s="97">
        <f t="shared" si="0"/>
        <v>1600</v>
      </c>
      <c r="P8" s="97">
        <f t="shared" si="0"/>
        <v>2000</v>
      </c>
      <c r="Q8" s="97">
        <f t="shared" si="0"/>
        <v>2500</v>
      </c>
    </row>
    <row r="9" spans="1:22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22" x14ac:dyDescent="0.25">
      <c r="A10" s="31" t="s">
        <v>832</v>
      </c>
      <c r="B10" s="31" t="s">
        <v>11</v>
      </c>
      <c r="C10" s="31" t="s">
        <v>12</v>
      </c>
      <c r="D10" s="31" t="s">
        <v>157</v>
      </c>
      <c r="E10" s="31" t="s">
        <v>817</v>
      </c>
      <c r="F10" s="31" t="s">
        <v>15</v>
      </c>
      <c r="G10" s="31" t="s">
        <v>16</v>
      </c>
      <c r="H10" s="31" t="s">
        <v>818</v>
      </c>
      <c r="I10" s="32" t="s">
        <v>18</v>
      </c>
      <c r="J10" s="32">
        <v>3</v>
      </c>
      <c r="K10" s="32"/>
      <c r="L10" s="34">
        <v>431654.47860000003</v>
      </c>
      <c r="M10" s="34">
        <v>138234.84</v>
      </c>
      <c r="N10" s="34">
        <v>138234.84</v>
      </c>
      <c r="O10" s="34">
        <f>S10</f>
        <v>290016.69431999995</v>
      </c>
      <c r="P10" s="34">
        <f>O10*1.044</f>
        <v>302777.42887007998</v>
      </c>
      <c r="Q10" s="34">
        <f>P10*1.045</f>
        <v>316402.41316923354</v>
      </c>
      <c r="S10" s="145">
        <f>'[1]6251LIB'!$E$6</f>
        <v>290016.69431999995</v>
      </c>
    </row>
    <row r="11" spans="1:22" x14ac:dyDescent="0.25">
      <c r="A11" s="31" t="s">
        <v>829</v>
      </c>
      <c r="B11" s="31" t="s">
        <v>11</v>
      </c>
      <c r="C11" s="31" t="s">
        <v>12</v>
      </c>
      <c r="D11" s="31" t="s">
        <v>1630</v>
      </c>
      <c r="E11" s="31" t="s">
        <v>817</v>
      </c>
      <c r="F11" s="31" t="s">
        <v>15</v>
      </c>
      <c r="G11" s="31" t="s">
        <v>16</v>
      </c>
      <c r="H11" s="31" t="s">
        <v>818</v>
      </c>
      <c r="I11" s="32" t="s">
        <v>18</v>
      </c>
      <c r="J11" s="32">
        <v>3</v>
      </c>
      <c r="K11" s="32"/>
      <c r="L11" s="34">
        <v>30000</v>
      </c>
      <c r="M11" s="34">
        <v>10000</v>
      </c>
      <c r="N11" s="34">
        <v>10000</v>
      </c>
      <c r="O11" s="34">
        <v>20000</v>
      </c>
      <c r="P11" s="34">
        <f t="shared" ref="P11:P21" si="1">O11*1.044</f>
        <v>20880</v>
      </c>
      <c r="Q11" s="34">
        <f t="shared" ref="Q11:Q21" si="2">P11*1.045</f>
        <v>21819.599999999999</v>
      </c>
      <c r="S11" s="145"/>
    </row>
    <row r="12" spans="1:22" s="107" customFormat="1" x14ac:dyDescent="0.25">
      <c r="A12" s="52" t="s">
        <v>830</v>
      </c>
      <c r="B12" s="52" t="s">
        <v>11</v>
      </c>
      <c r="C12" s="52" t="s">
        <v>12</v>
      </c>
      <c r="D12" s="52" t="s">
        <v>153</v>
      </c>
      <c r="E12" s="52" t="s">
        <v>817</v>
      </c>
      <c r="F12" s="52" t="s">
        <v>15</v>
      </c>
      <c r="G12" s="52" t="s">
        <v>16</v>
      </c>
      <c r="H12" s="52" t="s">
        <v>818</v>
      </c>
      <c r="I12" s="104" t="s">
        <v>18</v>
      </c>
      <c r="J12" s="104">
        <v>3</v>
      </c>
      <c r="K12" s="104"/>
      <c r="L12" s="114">
        <v>35971.206550000003</v>
      </c>
      <c r="M12" s="34">
        <v>23039.14</v>
      </c>
      <c r="N12" s="34">
        <v>23039.14</v>
      </c>
      <c r="O12" s="34">
        <f t="shared" ref="O12:O21" si="3">S12</f>
        <v>24168.057859999997</v>
      </c>
      <c r="P12" s="34">
        <f t="shared" si="1"/>
        <v>25231.452405839998</v>
      </c>
      <c r="Q12" s="34">
        <f t="shared" si="2"/>
        <v>26366.867764102797</v>
      </c>
      <c r="S12" s="145">
        <f>'[1]6251LIB'!$I$6</f>
        <v>24168.057859999997</v>
      </c>
      <c r="T12" s="154"/>
      <c r="U12" s="154"/>
      <c r="V12" s="154"/>
    </row>
    <row r="13" spans="1:22" s="107" customFormat="1" x14ac:dyDescent="0.25">
      <c r="A13" s="50" t="s">
        <v>831</v>
      </c>
      <c r="B13" s="52"/>
      <c r="C13" s="52"/>
      <c r="D13" s="52" t="s">
        <v>155</v>
      </c>
      <c r="E13" s="52"/>
      <c r="F13" s="52"/>
      <c r="G13" s="52"/>
      <c r="H13" s="52"/>
      <c r="I13" s="52"/>
      <c r="J13" s="104"/>
      <c r="K13" s="104"/>
      <c r="L13" s="114">
        <v>22459.489958399994</v>
      </c>
      <c r="M13" s="34">
        <v>22459.489958399994</v>
      </c>
      <c r="N13" s="34">
        <v>22459.489958399994</v>
      </c>
      <c r="O13" s="34">
        <f t="shared" si="3"/>
        <v>0</v>
      </c>
      <c r="P13" s="34">
        <f t="shared" si="1"/>
        <v>0</v>
      </c>
      <c r="Q13" s="34">
        <f t="shared" si="2"/>
        <v>0</v>
      </c>
      <c r="R13" s="125"/>
      <c r="S13" s="145">
        <f>'[2]6251LIB'!$J$6</f>
        <v>0</v>
      </c>
      <c r="T13" s="106"/>
    </row>
    <row r="14" spans="1:22" x14ac:dyDescent="0.25">
      <c r="A14" s="31" t="s">
        <v>827</v>
      </c>
      <c r="B14" s="31" t="s">
        <v>11</v>
      </c>
      <c r="C14" s="31" t="s">
        <v>12</v>
      </c>
      <c r="D14" s="31" t="s">
        <v>41</v>
      </c>
      <c r="E14" s="31" t="s">
        <v>817</v>
      </c>
      <c r="F14" s="31" t="s">
        <v>15</v>
      </c>
      <c r="G14" s="31" t="s">
        <v>16</v>
      </c>
      <c r="H14" s="31" t="s">
        <v>818</v>
      </c>
      <c r="I14" s="32" t="s">
        <v>18</v>
      </c>
      <c r="J14" s="32">
        <v>3</v>
      </c>
      <c r="K14" s="32"/>
      <c r="L14" s="114">
        <v>94963.985291999998</v>
      </c>
      <c r="M14" s="34">
        <v>30411.664799999999</v>
      </c>
      <c r="N14" s="34">
        <v>30411.664799999999</v>
      </c>
      <c r="O14" s="34">
        <f t="shared" si="3"/>
        <v>63803.672750399986</v>
      </c>
      <c r="P14" s="34">
        <f t="shared" si="1"/>
        <v>66611.034351417591</v>
      </c>
      <c r="Q14" s="34">
        <f t="shared" si="2"/>
        <v>69608.53089723138</v>
      </c>
      <c r="S14" s="145">
        <f>'[1]6251LIB'!$K$6</f>
        <v>63803.672750399986</v>
      </c>
    </row>
    <row r="15" spans="1:22" x14ac:dyDescent="0.25">
      <c r="A15" s="31" t="s">
        <v>826</v>
      </c>
      <c r="B15" s="31" t="s">
        <v>11</v>
      </c>
      <c r="C15" s="31" t="s">
        <v>12</v>
      </c>
      <c r="D15" s="31" t="s">
        <v>36</v>
      </c>
      <c r="E15" s="31" t="s">
        <v>817</v>
      </c>
      <c r="F15" s="31" t="s">
        <v>15</v>
      </c>
      <c r="G15" s="31" t="s">
        <v>16</v>
      </c>
      <c r="H15" s="31" t="s">
        <v>818</v>
      </c>
      <c r="I15" s="32" t="s">
        <v>18</v>
      </c>
      <c r="J15" s="32">
        <v>3</v>
      </c>
      <c r="K15" s="32"/>
      <c r="L15" s="114">
        <v>29916</v>
      </c>
      <c r="M15" s="34">
        <v>14958</v>
      </c>
      <c r="N15" s="34">
        <v>14958</v>
      </c>
      <c r="O15" s="34">
        <f t="shared" si="3"/>
        <v>29916</v>
      </c>
      <c r="P15" s="34">
        <f t="shared" si="1"/>
        <v>31232.304</v>
      </c>
      <c r="Q15" s="34">
        <f t="shared" si="2"/>
        <v>32637.757679999999</v>
      </c>
      <c r="S15" s="145">
        <f>'[1]6251LIB'!$L$6</f>
        <v>29916</v>
      </c>
    </row>
    <row r="16" spans="1:22" x14ac:dyDescent="0.25">
      <c r="A16" s="31" t="s">
        <v>825</v>
      </c>
      <c r="B16" s="31" t="s">
        <v>11</v>
      </c>
      <c r="C16" s="31" t="s">
        <v>12</v>
      </c>
      <c r="D16" s="31" t="s">
        <v>151</v>
      </c>
      <c r="E16" s="31" t="s">
        <v>817</v>
      </c>
      <c r="F16" s="31" t="s">
        <v>15</v>
      </c>
      <c r="G16" s="31" t="s">
        <v>16</v>
      </c>
      <c r="H16" s="31" t="s">
        <v>818</v>
      </c>
      <c r="I16" s="32" t="s">
        <v>18</v>
      </c>
      <c r="J16" s="32">
        <v>3</v>
      </c>
      <c r="K16" s="32"/>
      <c r="L16" s="114">
        <v>237.60000000000002</v>
      </c>
      <c r="M16" s="34">
        <v>61.800000000000004</v>
      </c>
      <c r="N16" s="34">
        <v>61.800000000000004</v>
      </c>
      <c r="O16" s="34">
        <f t="shared" si="3"/>
        <v>123.60000000000001</v>
      </c>
      <c r="P16" s="34">
        <f t="shared" si="1"/>
        <v>129.03840000000002</v>
      </c>
      <c r="Q16" s="34">
        <f t="shared" si="2"/>
        <v>134.84512800000002</v>
      </c>
      <c r="S16" s="145">
        <f>'[1]6251LIB'!$R$6</f>
        <v>123.60000000000001</v>
      </c>
    </row>
    <row r="17" spans="1:19" hidden="1" x14ac:dyDescent="0.25">
      <c r="A17" s="31" t="s">
        <v>831</v>
      </c>
      <c r="B17" s="31" t="s">
        <v>11</v>
      </c>
      <c r="C17" s="31" t="s">
        <v>12</v>
      </c>
      <c r="D17" s="31" t="s">
        <v>155</v>
      </c>
      <c r="E17" s="31" t="s">
        <v>817</v>
      </c>
      <c r="F17" s="31" t="s">
        <v>37</v>
      </c>
      <c r="G17" s="31" t="s">
        <v>16</v>
      </c>
      <c r="H17" s="31" t="s">
        <v>818</v>
      </c>
      <c r="I17" s="32" t="s">
        <v>38</v>
      </c>
      <c r="J17" s="32">
        <v>1</v>
      </c>
      <c r="K17" s="32"/>
      <c r="L17" s="114">
        <v>0</v>
      </c>
      <c r="M17" s="34">
        <v>0</v>
      </c>
      <c r="N17" s="34">
        <v>0</v>
      </c>
      <c r="O17" s="34">
        <f t="shared" si="3"/>
        <v>0</v>
      </c>
      <c r="P17" s="34">
        <f t="shared" si="1"/>
        <v>0</v>
      </c>
      <c r="Q17" s="34">
        <f t="shared" si="2"/>
        <v>0</v>
      </c>
      <c r="S17" s="145"/>
    </row>
    <row r="18" spans="1:19" x14ac:dyDescent="0.25">
      <c r="A18" s="31" t="s">
        <v>828</v>
      </c>
      <c r="B18" s="31" t="s">
        <v>11</v>
      </c>
      <c r="C18" s="31" t="s">
        <v>12</v>
      </c>
      <c r="D18" s="31" t="s">
        <v>43</v>
      </c>
      <c r="E18" s="31" t="s">
        <v>817</v>
      </c>
      <c r="F18" s="31" t="s">
        <v>15</v>
      </c>
      <c r="G18" s="31" t="s">
        <v>16</v>
      </c>
      <c r="H18" s="31" t="s">
        <v>818</v>
      </c>
      <c r="I18" s="32" t="s">
        <v>18</v>
      </c>
      <c r="J18" s="32">
        <v>3</v>
      </c>
      <c r="K18" s="32"/>
      <c r="L18" s="114">
        <v>2994.72</v>
      </c>
      <c r="M18" s="34">
        <v>1382.3484000000001</v>
      </c>
      <c r="N18" s="34">
        <v>1382.3484000000001</v>
      </c>
      <c r="O18" s="34">
        <f t="shared" si="3"/>
        <v>1497.36</v>
      </c>
      <c r="P18" s="34">
        <f t="shared" si="1"/>
        <v>1563.2438399999999</v>
      </c>
      <c r="Q18" s="34">
        <f t="shared" si="2"/>
        <v>1633.5898127999997</v>
      </c>
      <c r="S18" s="145">
        <f>'[1]6251LIB'!$T$6</f>
        <v>1497.36</v>
      </c>
    </row>
    <row r="19" spans="1:19" hidden="1" x14ac:dyDescent="0.25">
      <c r="A19" s="31" t="s">
        <v>2099</v>
      </c>
      <c r="B19" s="31"/>
      <c r="C19" s="31"/>
      <c r="D19" s="31" t="s">
        <v>162</v>
      </c>
      <c r="E19" s="31"/>
      <c r="F19" s="31"/>
      <c r="G19" s="31"/>
      <c r="H19" s="31"/>
      <c r="I19" s="32"/>
      <c r="J19" s="32"/>
      <c r="K19" s="32"/>
      <c r="L19" s="126">
        <v>0</v>
      </c>
      <c r="M19" s="34">
        <v>0</v>
      </c>
      <c r="N19" s="34">
        <v>0</v>
      </c>
      <c r="O19" s="34">
        <f t="shared" si="3"/>
        <v>0</v>
      </c>
      <c r="P19" s="34">
        <f t="shared" si="1"/>
        <v>0</v>
      </c>
      <c r="Q19" s="34">
        <f t="shared" si="2"/>
        <v>0</v>
      </c>
      <c r="S19" s="145"/>
    </row>
    <row r="20" spans="1:19" x14ac:dyDescent="0.25">
      <c r="A20" s="31"/>
      <c r="B20" s="31"/>
      <c r="C20" s="31"/>
      <c r="D20" s="31"/>
      <c r="E20" s="31"/>
      <c r="F20" s="31"/>
      <c r="G20" s="31"/>
      <c r="H20" s="31"/>
      <c r="I20" s="32"/>
      <c r="J20" s="32"/>
      <c r="K20" s="32"/>
      <c r="O20" s="34"/>
      <c r="P20" s="34"/>
      <c r="Q20" s="34"/>
      <c r="S20" s="145"/>
    </row>
    <row r="21" spans="1:19" x14ac:dyDescent="0.25">
      <c r="A21" s="31" t="s">
        <v>824</v>
      </c>
      <c r="B21" s="31" t="s">
        <v>11</v>
      </c>
      <c r="C21" s="31" t="s">
        <v>12</v>
      </c>
      <c r="D21" s="31" t="s">
        <v>30</v>
      </c>
      <c r="E21" s="31" t="s">
        <v>817</v>
      </c>
      <c r="F21" s="31" t="s">
        <v>15</v>
      </c>
      <c r="G21" s="31" t="s">
        <v>16</v>
      </c>
      <c r="H21" s="31" t="s">
        <v>818</v>
      </c>
      <c r="I21" s="32" t="s">
        <v>18</v>
      </c>
      <c r="J21" s="32">
        <v>3</v>
      </c>
      <c r="K21" s="32"/>
      <c r="L21" s="34">
        <v>4316.5447860000004</v>
      </c>
      <c r="M21" s="34">
        <v>1382.3484000000001</v>
      </c>
      <c r="N21" s="34">
        <v>1382.3484000000001</v>
      </c>
      <c r="O21" s="34">
        <f t="shared" si="3"/>
        <v>2900.1669431999994</v>
      </c>
      <c r="P21" s="34">
        <f t="shared" si="1"/>
        <v>3027.7742887007994</v>
      </c>
      <c r="Q21" s="34">
        <f t="shared" si="2"/>
        <v>3164.0241316923352</v>
      </c>
      <c r="S21" s="145">
        <f>'[1]6251LIB'!$Q$6</f>
        <v>2900.1669431999994</v>
      </c>
    </row>
    <row r="22" spans="1:19" x14ac:dyDescent="0.25">
      <c r="A22" s="31" t="s">
        <v>822</v>
      </c>
      <c r="B22" s="31" t="s">
        <v>11</v>
      </c>
      <c r="C22" s="31" t="s">
        <v>12</v>
      </c>
      <c r="D22" s="31" t="s">
        <v>20</v>
      </c>
      <c r="E22" s="31" t="s">
        <v>817</v>
      </c>
      <c r="F22" s="31" t="s">
        <v>37</v>
      </c>
      <c r="G22" s="31" t="s">
        <v>16</v>
      </c>
      <c r="H22" s="31" t="s">
        <v>818</v>
      </c>
      <c r="I22" s="32" t="s">
        <v>38</v>
      </c>
      <c r="J22" s="32">
        <v>1</v>
      </c>
      <c r="K22" s="32"/>
      <c r="L22" s="43">
        <v>2500</v>
      </c>
      <c r="M22" s="43">
        <v>1500</v>
      </c>
      <c r="N22" s="43">
        <v>1500</v>
      </c>
      <c r="O22" s="43">
        <v>2500</v>
      </c>
      <c r="P22" s="43">
        <v>2600</v>
      </c>
      <c r="Q22" s="43">
        <v>2700</v>
      </c>
    </row>
    <row r="23" spans="1:19" hidden="1" x14ac:dyDescent="0.25">
      <c r="A23" s="31" t="s">
        <v>823</v>
      </c>
      <c r="B23" s="31" t="s">
        <v>11</v>
      </c>
      <c r="C23" s="31" t="s">
        <v>12</v>
      </c>
      <c r="D23" s="31" t="s">
        <v>28</v>
      </c>
      <c r="E23" s="31" t="s">
        <v>817</v>
      </c>
      <c r="F23" s="31" t="s">
        <v>37</v>
      </c>
      <c r="G23" s="31" t="s">
        <v>16</v>
      </c>
      <c r="H23" s="31" t="s">
        <v>818</v>
      </c>
      <c r="I23" s="32" t="s">
        <v>38</v>
      </c>
      <c r="J23" s="32">
        <v>1</v>
      </c>
      <c r="K23" s="32"/>
      <c r="L23" s="43"/>
      <c r="M23" s="43"/>
      <c r="N23" s="43"/>
      <c r="O23" s="43"/>
      <c r="P23" s="43"/>
      <c r="Q23" s="43"/>
    </row>
    <row r="24" spans="1:19" x14ac:dyDescent="0.25">
      <c r="A24" s="31" t="s">
        <v>819</v>
      </c>
      <c r="B24" s="31" t="s">
        <v>11</v>
      </c>
      <c r="C24" s="31" t="s">
        <v>12</v>
      </c>
      <c r="D24" s="31" t="s">
        <v>13</v>
      </c>
      <c r="E24" s="31" t="s">
        <v>817</v>
      </c>
      <c r="F24" s="31" t="s">
        <v>37</v>
      </c>
      <c r="G24" s="31" t="s">
        <v>16</v>
      </c>
      <c r="H24" s="31" t="s">
        <v>818</v>
      </c>
      <c r="I24" s="32" t="s">
        <v>38</v>
      </c>
      <c r="J24" s="32">
        <v>1</v>
      </c>
      <c r="K24" s="32"/>
      <c r="L24" s="43">
        <v>4000</v>
      </c>
      <c r="M24" s="43">
        <v>4000</v>
      </c>
      <c r="N24" s="43">
        <v>4000</v>
      </c>
      <c r="O24" s="43">
        <v>8000</v>
      </c>
      <c r="P24" s="43">
        <v>9000</v>
      </c>
      <c r="Q24" s="43">
        <v>10000</v>
      </c>
    </row>
    <row r="25" spans="1:19" hidden="1" x14ac:dyDescent="0.25">
      <c r="A25" s="31" t="s">
        <v>821</v>
      </c>
      <c r="B25" s="31" t="s">
        <v>11</v>
      </c>
      <c r="C25" s="31" t="s">
        <v>12</v>
      </c>
      <c r="D25" s="31" t="s">
        <v>32</v>
      </c>
      <c r="E25" s="31" t="s">
        <v>817</v>
      </c>
      <c r="F25" s="31" t="s">
        <v>37</v>
      </c>
      <c r="G25" s="31" t="s">
        <v>16</v>
      </c>
      <c r="H25" s="31" t="s">
        <v>818</v>
      </c>
      <c r="I25" s="32" t="s">
        <v>38</v>
      </c>
      <c r="J25" s="32">
        <v>1</v>
      </c>
      <c r="K25" s="32"/>
      <c r="L25" s="43"/>
      <c r="M25" s="43"/>
      <c r="N25" s="43"/>
      <c r="O25" s="43"/>
      <c r="P25" s="43"/>
      <c r="Q25" s="43"/>
    </row>
    <row r="26" spans="1:19" hidden="1" x14ac:dyDescent="0.25">
      <c r="A26" s="31" t="s">
        <v>820</v>
      </c>
      <c r="B26" s="31" t="s">
        <v>11</v>
      </c>
      <c r="C26" s="31" t="s">
        <v>12</v>
      </c>
      <c r="D26" s="31" t="s">
        <v>26</v>
      </c>
      <c r="E26" s="31" t="s">
        <v>817</v>
      </c>
      <c r="F26" s="31" t="s">
        <v>37</v>
      </c>
      <c r="G26" s="31" t="s">
        <v>16</v>
      </c>
      <c r="H26" s="31" t="s">
        <v>818</v>
      </c>
      <c r="I26" s="32" t="s">
        <v>38</v>
      </c>
      <c r="J26" s="32">
        <v>1</v>
      </c>
      <c r="K26" s="32"/>
      <c r="L26" s="43"/>
      <c r="M26" s="43"/>
      <c r="N26" s="43"/>
      <c r="O26" s="43"/>
      <c r="P26" s="43"/>
      <c r="Q26" s="43"/>
    </row>
    <row r="27" spans="1:19" x14ac:dyDescent="0.25">
      <c r="A27" s="31" t="s">
        <v>816</v>
      </c>
      <c r="B27" s="31" t="s">
        <v>11</v>
      </c>
      <c r="C27" s="31" t="s">
        <v>12</v>
      </c>
      <c r="D27" s="31" t="s">
        <v>147</v>
      </c>
      <c r="E27" s="31" t="s">
        <v>817</v>
      </c>
      <c r="F27" s="31" t="s">
        <v>37</v>
      </c>
      <c r="G27" s="31" t="s">
        <v>16</v>
      </c>
      <c r="H27" s="31" t="s">
        <v>818</v>
      </c>
      <c r="I27" s="32" t="s">
        <v>38</v>
      </c>
      <c r="J27" s="32">
        <v>1</v>
      </c>
      <c r="K27" s="32"/>
      <c r="L27" s="43">
        <v>2000</v>
      </c>
      <c r="M27" s="43">
        <v>2000</v>
      </c>
      <c r="N27" s="43">
        <v>2000</v>
      </c>
      <c r="O27" s="43">
        <v>3000</v>
      </c>
      <c r="P27" s="43">
        <v>3100</v>
      </c>
      <c r="Q27" s="43">
        <v>3200</v>
      </c>
    </row>
    <row r="29" spans="1:19" ht="15.75" thickBot="1" x14ac:dyDescent="0.3">
      <c r="A29" s="93" t="s">
        <v>1203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1">
        <f t="shared" ref="L29:Q29" si="4">SUM(L10:L28)</f>
        <v>661014.02518640005</v>
      </c>
      <c r="M29" s="91">
        <f t="shared" si="4"/>
        <v>249429.63155839994</v>
      </c>
      <c r="N29" s="91">
        <f t="shared" si="4"/>
        <v>249429.63155839994</v>
      </c>
      <c r="O29" s="91">
        <f t="shared" si="4"/>
        <v>445925.55187359988</v>
      </c>
      <c r="P29" s="91">
        <f t="shared" si="4"/>
        <v>466152.27615603834</v>
      </c>
      <c r="Q29" s="91">
        <f t="shared" si="4"/>
        <v>487667.62858306005</v>
      </c>
    </row>
  </sheetData>
  <sortState xmlns:xlrd2="http://schemas.microsoft.com/office/spreadsheetml/2017/richdata2" ref="B2:AA18">
    <sortCondition ref="E2:E18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S27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2" width="0" style="35" hidden="1" customWidth="1"/>
    <col min="3" max="3" width="20" style="35" hidden="1" customWidth="1"/>
    <col min="4" max="4" width="28" style="35" bestFit="1" customWidth="1"/>
    <col min="5" max="11" width="9.125" style="35" hidden="1" customWidth="1"/>
    <col min="12" max="12" width="17.75" style="35" bestFit="1" customWidth="1"/>
    <col min="13" max="13" width="13.375" style="35" customWidth="1"/>
    <col min="14" max="17" width="13.37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1743</v>
      </c>
      <c r="B3" s="72"/>
      <c r="C3" s="72"/>
      <c r="D3" s="72"/>
    </row>
    <row r="4" spans="1:19" ht="59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t="s">
        <v>848</v>
      </c>
      <c r="B6" s="31" t="s">
        <v>290</v>
      </c>
      <c r="C6" s="31" t="s">
        <v>770</v>
      </c>
      <c r="D6" s="31" t="s">
        <v>1615</v>
      </c>
      <c r="E6" s="31" t="s">
        <v>50</v>
      </c>
      <c r="F6" s="31" t="s">
        <v>292</v>
      </c>
      <c r="G6" s="31" t="s">
        <v>16</v>
      </c>
      <c r="H6" s="31" t="s">
        <v>835</v>
      </c>
      <c r="I6" s="32" t="s">
        <v>18</v>
      </c>
      <c r="J6" s="32">
        <v>3</v>
      </c>
      <c r="K6" s="32"/>
      <c r="L6" s="43">
        <v>50000</v>
      </c>
      <c r="M6" s="105">
        <v>6800</v>
      </c>
      <c r="N6" s="105">
        <v>6800</v>
      </c>
      <c r="O6" s="105">
        <v>50000</v>
      </c>
      <c r="P6" s="105">
        <v>55000</v>
      </c>
      <c r="Q6" s="105">
        <v>60000</v>
      </c>
    </row>
    <row r="7" spans="1:19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19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50000</v>
      </c>
      <c r="M8" s="97">
        <f t="shared" si="0"/>
        <v>6800</v>
      </c>
      <c r="N8" s="97">
        <f t="shared" si="0"/>
        <v>6800</v>
      </c>
      <c r="O8" s="97">
        <f t="shared" si="0"/>
        <v>50000</v>
      </c>
      <c r="P8" s="97">
        <f t="shared" si="0"/>
        <v>55000</v>
      </c>
      <c r="Q8" s="97">
        <f t="shared" si="0"/>
        <v>60000</v>
      </c>
    </row>
    <row r="9" spans="1:19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19" x14ac:dyDescent="0.25">
      <c r="A10" s="31" t="s">
        <v>847</v>
      </c>
      <c r="B10" s="31" t="s">
        <v>11</v>
      </c>
      <c r="C10" s="31" t="s">
        <v>12</v>
      </c>
      <c r="D10" s="31" t="s">
        <v>157</v>
      </c>
      <c r="E10" s="31" t="s">
        <v>50</v>
      </c>
      <c r="F10" s="31" t="s">
        <v>15</v>
      </c>
      <c r="G10" s="31" t="s">
        <v>16</v>
      </c>
      <c r="H10" s="31" t="s">
        <v>835</v>
      </c>
      <c r="I10" s="32" t="s">
        <v>18</v>
      </c>
      <c r="J10" s="32">
        <v>3</v>
      </c>
      <c r="K10" s="32"/>
      <c r="L10" s="34">
        <v>2894863.4929199996</v>
      </c>
      <c r="M10" s="34">
        <v>1784907.4099999997</v>
      </c>
      <c r="N10" s="34">
        <v>1784907.4099999997</v>
      </c>
      <c r="O10" s="34">
        <f>S10</f>
        <v>2313689.3797199996</v>
      </c>
      <c r="P10" s="34">
        <f>O10*1.044</f>
        <v>2415491.7124276799</v>
      </c>
      <c r="Q10" s="34">
        <f>P10*1.045</f>
        <v>2524188.8394869254</v>
      </c>
      <c r="S10" s="145">
        <f>'[1]6255HALLS'!$E$17</f>
        <v>2313689.3797199996</v>
      </c>
    </row>
    <row r="11" spans="1:19" x14ac:dyDescent="0.25">
      <c r="A11" s="31" t="s">
        <v>840</v>
      </c>
      <c r="B11" s="31" t="s">
        <v>11</v>
      </c>
      <c r="C11" s="31" t="s">
        <v>12</v>
      </c>
      <c r="D11" s="31" t="s">
        <v>1630</v>
      </c>
      <c r="E11" s="31" t="s">
        <v>50</v>
      </c>
      <c r="F11" s="31" t="s">
        <v>15</v>
      </c>
      <c r="G11" s="31" t="s">
        <v>16</v>
      </c>
      <c r="H11" s="31" t="s">
        <v>835</v>
      </c>
      <c r="I11" s="32" t="s">
        <v>18</v>
      </c>
      <c r="J11" s="32">
        <v>3</v>
      </c>
      <c r="K11" s="32"/>
      <c r="L11" s="34">
        <v>70000</v>
      </c>
      <c r="M11" s="34">
        <v>50000</v>
      </c>
      <c r="N11" s="34">
        <v>50000</v>
      </c>
      <c r="O11" s="34">
        <v>60000</v>
      </c>
      <c r="P11" s="34">
        <f t="shared" ref="P11:P22" si="1">O11*1.044</f>
        <v>62640</v>
      </c>
      <c r="Q11" s="34">
        <f t="shared" ref="Q11:Q22" si="2">P11*1.045</f>
        <v>65458.799999999996</v>
      </c>
      <c r="S11" s="145"/>
    </row>
    <row r="12" spans="1:19" x14ac:dyDescent="0.25">
      <c r="A12" s="31" t="s">
        <v>841</v>
      </c>
      <c r="B12" s="31" t="s">
        <v>11</v>
      </c>
      <c r="C12" s="31" t="s">
        <v>12</v>
      </c>
      <c r="D12" s="31" t="s">
        <v>153</v>
      </c>
      <c r="E12" s="31" t="s">
        <v>50</v>
      </c>
      <c r="F12" s="31" t="s">
        <v>15</v>
      </c>
      <c r="G12" s="31" t="s">
        <v>16</v>
      </c>
      <c r="H12" s="31" t="s">
        <v>835</v>
      </c>
      <c r="I12" s="32" t="s">
        <v>18</v>
      </c>
      <c r="J12" s="32">
        <v>3</v>
      </c>
      <c r="K12" s="32"/>
      <c r="L12" s="34">
        <v>241238.62440999999</v>
      </c>
      <c r="M12" s="34">
        <v>196136.63000000003</v>
      </c>
      <c r="N12" s="34">
        <v>196136.63000000003</v>
      </c>
      <c r="O12" s="34">
        <f>S12</f>
        <v>192807.44831000001</v>
      </c>
      <c r="P12" s="34">
        <f t="shared" si="1"/>
        <v>201290.97603564002</v>
      </c>
      <c r="Q12" s="34">
        <f t="shared" si="2"/>
        <v>210349.0699572438</v>
      </c>
      <c r="S12" s="145">
        <f>'[1]6255HALLS'!$I$17</f>
        <v>192807.44831000001</v>
      </c>
    </row>
    <row r="13" spans="1:19" hidden="1" x14ac:dyDescent="0.25">
      <c r="A13" s="31" t="s">
        <v>842</v>
      </c>
      <c r="B13" s="31" t="s">
        <v>11</v>
      </c>
      <c r="C13" s="31" t="s">
        <v>12</v>
      </c>
      <c r="D13" s="31" t="s">
        <v>155</v>
      </c>
      <c r="E13" s="31" t="s">
        <v>50</v>
      </c>
      <c r="F13" s="31" t="s">
        <v>15</v>
      </c>
      <c r="G13" s="31" t="s">
        <v>16</v>
      </c>
      <c r="H13" s="31" t="s">
        <v>835</v>
      </c>
      <c r="I13" s="32" t="s">
        <v>18</v>
      </c>
      <c r="J13" s="32">
        <v>3</v>
      </c>
      <c r="K13" s="32"/>
      <c r="L13" s="34">
        <v>0</v>
      </c>
      <c r="M13" s="34">
        <v>0</v>
      </c>
      <c r="N13" s="34">
        <v>0</v>
      </c>
      <c r="O13" s="34">
        <f t="shared" ref="O13:O22" si="3">S13</f>
        <v>0</v>
      </c>
      <c r="P13" s="34">
        <f t="shared" si="1"/>
        <v>0</v>
      </c>
      <c r="Q13" s="34">
        <f t="shared" si="2"/>
        <v>0</v>
      </c>
      <c r="S13" s="145"/>
    </row>
    <row r="14" spans="1:19" x14ac:dyDescent="0.25">
      <c r="A14" s="31" t="s">
        <v>838</v>
      </c>
      <c r="B14" s="31" t="s">
        <v>11</v>
      </c>
      <c r="C14" s="31" t="s">
        <v>12</v>
      </c>
      <c r="D14" s="31" t="s">
        <v>41</v>
      </c>
      <c r="E14" s="31" t="s">
        <v>50</v>
      </c>
      <c r="F14" s="31" t="s">
        <v>15</v>
      </c>
      <c r="G14" s="31" t="s">
        <v>16</v>
      </c>
      <c r="H14" s="31" t="s">
        <v>835</v>
      </c>
      <c r="I14" s="32" t="s">
        <v>18</v>
      </c>
      <c r="J14" s="32">
        <v>3</v>
      </c>
      <c r="K14" s="32"/>
      <c r="L14" s="34">
        <v>636869.9684424001</v>
      </c>
      <c r="M14" s="34">
        <v>381883.3872</v>
      </c>
      <c r="N14" s="34">
        <v>381883.3872</v>
      </c>
      <c r="O14" s="34">
        <f t="shared" si="3"/>
        <v>509011.66353839985</v>
      </c>
      <c r="P14" s="34">
        <f t="shared" si="1"/>
        <v>531408.1767340895</v>
      </c>
      <c r="Q14" s="34">
        <f t="shared" si="2"/>
        <v>555321.5446871235</v>
      </c>
      <c r="S14" s="145">
        <f>'[1]6255HALLS'!$K$17</f>
        <v>509011.66353839985</v>
      </c>
    </row>
    <row r="15" spans="1:19" hidden="1" x14ac:dyDescent="0.25">
      <c r="A15" s="31" t="s">
        <v>837</v>
      </c>
      <c r="B15" s="31" t="s">
        <v>11</v>
      </c>
      <c r="C15" s="31" t="s">
        <v>12</v>
      </c>
      <c r="D15" s="31" t="s">
        <v>36</v>
      </c>
      <c r="E15" s="31" t="s">
        <v>50</v>
      </c>
      <c r="F15" s="31" t="s">
        <v>15</v>
      </c>
      <c r="G15" s="31" t="s">
        <v>16</v>
      </c>
      <c r="H15" s="31" t="s">
        <v>835</v>
      </c>
      <c r="I15" s="32" t="s">
        <v>18</v>
      </c>
      <c r="J15" s="32">
        <v>3</v>
      </c>
      <c r="K15" s="32"/>
      <c r="L15" s="34">
        <v>0</v>
      </c>
      <c r="M15" s="34">
        <v>0</v>
      </c>
      <c r="N15" s="34">
        <v>0</v>
      </c>
      <c r="O15" s="34">
        <f t="shared" si="3"/>
        <v>0</v>
      </c>
      <c r="P15" s="34">
        <f t="shared" si="1"/>
        <v>0</v>
      </c>
      <c r="Q15" s="34">
        <f t="shared" si="2"/>
        <v>0</v>
      </c>
      <c r="S15" s="145">
        <f>'[4]6255HALLS'!$L$17</f>
        <v>0</v>
      </c>
    </row>
    <row r="16" spans="1:19" x14ac:dyDescent="0.25">
      <c r="A16" s="31" t="s">
        <v>836</v>
      </c>
      <c r="B16" s="31" t="s">
        <v>11</v>
      </c>
      <c r="C16" s="31" t="s">
        <v>12</v>
      </c>
      <c r="D16" s="31" t="s">
        <v>151</v>
      </c>
      <c r="E16" s="31" t="s">
        <v>50</v>
      </c>
      <c r="F16" s="31" t="s">
        <v>15</v>
      </c>
      <c r="G16" s="31" t="s">
        <v>16</v>
      </c>
      <c r="H16" s="31" t="s">
        <v>835</v>
      </c>
      <c r="I16" s="32" t="s">
        <v>18</v>
      </c>
      <c r="J16" s="32">
        <v>3</v>
      </c>
      <c r="K16" s="32"/>
      <c r="L16" s="34">
        <v>2138.3999999999996</v>
      </c>
      <c r="M16" s="34">
        <v>1359.6</v>
      </c>
      <c r="N16" s="34">
        <v>1359.6</v>
      </c>
      <c r="O16" s="34">
        <f t="shared" si="3"/>
        <v>1730.3999999999996</v>
      </c>
      <c r="P16" s="34">
        <f t="shared" si="1"/>
        <v>1806.5375999999997</v>
      </c>
      <c r="Q16" s="34">
        <f t="shared" si="2"/>
        <v>1887.8317919999995</v>
      </c>
      <c r="S16" s="145">
        <f>'[1]6255HALLS'!$R$17</f>
        <v>1730.3999999999996</v>
      </c>
    </row>
    <row r="17" spans="1:19" hidden="1" x14ac:dyDescent="0.25">
      <c r="A17" s="31" t="s">
        <v>843</v>
      </c>
      <c r="B17" s="31" t="s">
        <v>11</v>
      </c>
      <c r="C17" s="31" t="s">
        <v>12</v>
      </c>
      <c r="D17" s="31" t="s">
        <v>156</v>
      </c>
      <c r="E17" s="31" t="s">
        <v>844</v>
      </c>
      <c r="F17" s="31" t="s">
        <v>37</v>
      </c>
      <c r="G17" s="31" t="s">
        <v>16</v>
      </c>
      <c r="H17" s="31" t="s">
        <v>845</v>
      </c>
      <c r="I17" s="32" t="s">
        <v>38</v>
      </c>
      <c r="J17" s="32">
        <v>1</v>
      </c>
      <c r="K17" s="32"/>
      <c r="L17" s="34">
        <v>0</v>
      </c>
      <c r="M17" s="34">
        <v>0</v>
      </c>
      <c r="N17" s="34">
        <v>0</v>
      </c>
      <c r="O17" s="34">
        <f t="shared" si="3"/>
        <v>0</v>
      </c>
      <c r="P17" s="34">
        <f t="shared" si="1"/>
        <v>0</v>
      </c>
      <c r="Q17" s="34">
        <f t="shared" si="2"/>
        <v>0</v>
      </c>
      <c r="S17" s="145"/>
    </row>
    <row r="18" spans="1:19" hidden="1" x14ac:dyDescent="0.25">
      <c r="A18" s="31" t="s">
        <v>846</v>
      </c>
      <c r="B18" s="31" t="s">
        <v>11</v>
      </c>
      <c r="C18" s="31" t="s">
        <v>12</v>
      </c>
      <c r="D18" s="31" t="s">
        <v>47</v>
      </c>
      <c r="E18" s="31" t="s">
        <v>844</v>
      </c>
      <c r="F18" s="31" t="s">
        <v>37</v>
      </c>
      <c r="G18" s="31" t="s">
        <v>16</v>
      </c>
      <c r="H18" s="31" t="s">
        <v>845</v>
      </c>
      <c r="I18" s="32" t="s">
        <v>38</v>
      </c>
      <c r="J18" s="32">
        <v>1</v>
      </c>
      <c r="K18" s="32"/>
      <c r="L18" s="34">
        <v>0</v>
      </c>
      <c r="M18" s="34">
        <v>0</v>
      </c>
      <c r="N18" s="34">
        <v>0</v>
      </c>
      <c r="O18" s="34">
        <f t="shared" si="3"/>
        <v>0</v>
      </c>
      <c r="P18" s="34">
        <f t="shared" si="1"/>
        <v>0</v>
      </c>
      <c r="Q18" s="34">
        <f t="shared" si="2"/>
        <v>0</v>
      </c>
      <c r="S18" s="145"/>
    </row>
    <row r="19" spans="1:19" x14ac:dyDescent="0.25">
      <c r="A19" s="31" t="s">
        <v>839</v>
      </c>
      <c r="B19" s="31" t="s">
        <v>11</v>
      </c>
      <c r="C19" s="31" t="s">
        <v>12</v>
      </c>
      <c r="D19" s="31" t="s">
        <v>43</v>
      </c>
      <c r="E19" s="31" t="s">
        <v>50</v>
      </c>
      <c r="F19" s="31" t="s">
        <v>15</v>
      </c>
      <c r="G19" s="31" t="s">
        <v>16</v>
      </c>
      <c r="H19" s="31" t="s">
        <v>835</v>
      </c>
      <c r="I19" s="32" t="s">
        <v>18</v>
      </c>
      <c r="J19" s="32">
        <v>3</v>
      </c>
      <c r="K19" s="32"/>
      <c r="L19" s="34">
        <v>26952.480000000007</v>
      </c>
      <c r="M19" s="34">
        <v>21575.261013331197</v>
      </c>
      <c r="N19" s="34">
        <v>21575.261013331197</v>
      </c>
      <c r="O19" s="34">
        <f t="shared" si="3"/>
        <v>20950.233415200004</v>
      </c>
      <c r="P19" s="34">
        <f t="shared" si="1"/>
        <v>21872.043685468805</v>
      </c>
      <c r="Q19" s="34">
        <f t="shared" si="2"/>
        <v>22856.285651314898</v>
      </c>
      <c r="S19" s="145">
        <f>'[1]6255HALLS'!$T$17</f>
        <v>20950.233415200004</v>
      </c>
    </row>
    <row r="20" spans="1:19" x14ac:dyDescent="0.25">
      <c r="A20" s="31" t="s">
        <v>849</v>
      </c>
      <c r="B20" s="31" t="s">
        <v>11</v>
      </c>
      <c r="C20" s="31" t="s">
        <v>12</v>
      </c>
      <c r="D20" s="31" t="s">
        <v>162</v>
      </c>
      <c r="E20" s="31" t="s">
        <v>844</v>
      </c>
      <c r="F20" s="31" t="s">
        <v>37</v>
      </c>
      <c r="G20" s="31" t="s">
        <v>16</v>
      </c>
      <c r="H20" s="31" t="s">
        <v>845</v>
      </c>
      <c r="I20" s="32" t="s">
        <v>38</v>
      </c>
      <c r="J20" s="32">
        <v>1</v>
      </c>
      <c r="K20" s="32"/>
      <c r="L20" s="34">
        <v>281741.23771583993</v>
      </c>
      <c r="M20" s="34">
        <v>249285.68133311995</v>
      </c>
      <c r="N20" s="34">
        <v>249285.68133311995</v>
      </c>
      <c r="O20" s="34">
        <f t="shared" si="3"/>
        <v>225886.62819136001</v>
      </c>
      <c r="P20" s="34">
        <f t="shared" si="1"/>
        <v>235825.63983177987</v>
      </c>
      <c r="Q20" s="34">
        <f t="shared" si="2"/>
        <v>246437.79362420994</v>
      </c>
      <c r="S20" s="145">
        <f>'[1]6255HALLS'!$F$17</f>
        <v>225886.62819136001</v>
      </c>
    </row>
    <row r="21" spans="1:19" x14ac:dyDescent="0.25">
      <c r="A21" s="31"/>
      <c r="B21" s="31"/>
      <c r="C21" s="31"/>
      <c r="D21" s="31"/>
      <c r="E21" s="31"/>
      <c r="F21" s="31"/>
      <c r="G21" s="31"/>
      <c r="H21" s="31"/>
      <c r="I21" s="32"/>
      <c r="J21" s="32"/>
      <c r="K21" s="32"/>
      <c r="M21" s="34"/>
      <c r="N21" s="34"/>
      <c r="O21" s="34"/>
      <c r="P21" s="34"/>
      <c r="Q21" s="34"/>
      <c r="S21" s="145"/>
    </row>
    <row r="22" spans="1:19" x14ac:dyDescent="0.25">
      <c r="A22" s="31" t="s">
        <v>834</v>
      </c>
      <c r="B22" s="31" t="s">
        <v>11</v>
      </c>
      <c r="C22" s="31" t="s">
        <v>12</v>
      </c>
      <c r="D22" s="31" t="s">
        <v>30</v>
      </c>
      <c r="E22" s="31" t="s">
        <v>50</v>
      </c>
      <c r="F22" s="31" t="s">
        <v>15</v>
      </c>
      <c r="G22" s="31" t="s">
        <v>16</v>
      </c>
      <c r="H22" s="31" t="s">
        <v>835</v>
      </c>
      <c r="I22" s="32" t="s">
        <v>18</v>
      </c>
      <c r="J22" s="32">
        <v>3</v>
      </c>
      <c r="K22" s="32"/>
      <c r="L22" s="34">
        <v>28948.634929199998</v>
      </c>
      <c r="M22" s="34">
        <v>18250.282599999999</v>
      </c>
      <c r="N22" s="34">
        <v>18250.282599999999</v>
      </c>
      <c r="O22" s="34">
        <f t="shared" si="3"/>
        <v>23136.893797199999</v>
      </c>
      <c r="P22" s="34">
        <f t="shared" si="1"/>
        <v>24154.917124276799</v>
      </c>
      <c r="Q22" s="34">
        <f t="shared" si="2"/>
        <v>25241.888394869253</v>
      </c>
      <c r="S22" s="145">
        <f>'[1]6255HALLS'!$Q$17</f>
        <v>23136.893797199999</v>
      </c>
    </row>
    <row r="23" spans="1:19" x14ac:dyDescent="0.25">
      <c r="A23" s="31"/>
      <c r="B23" s="31"/>
      <c r="C23" s="31"/>
      <c r="D23" s="31"/>
      <c r="E23" s="31"/>
      <c r="F23" s="31"/>
      <c r="G23" s="31"/>
      <c r="H23" s="31"/>
      <c r="I23" s="32"/>
      <c r="J23" s="32"/>
      <c r="K23" s="32"/>
    </row>
    <row r="24" spans="1:19" hidden="1" x14ac:dyDescent="0.25">
      <c r="A24" s="31"/>
      <c r="B24" s="31"/>
      <c r="C24" s="31"/>
      <c r="D24" s="31"/>
      <c r="E24" s="31"/>
      <c r="F24" s="31"/>
      <c r="G24" s="31"/>
      <c r="H24" s="31"/>
      <c r="I24" s="32"/>
      <c r="J24" s="32"/>
      <c r="K24" s="32"/>
      <c r="L24" s="43"/>
      <c r="M24" s="43"/>
      <c r="N24" s="43"/>
      <c r="O24" s="43"/>
      <c r="P24" s="43"/>
      <c r="Q24" s="43"/>
    </row>
    <row r="25" spans="1:19" hidden="1" x14ac:dyDescent="0.25">
      <c r="A25" s="31"/>
      <c r="B25" s="31"/>
      <c r="C25" s="31"/>
      <c r="D25" s="31"/>
      <c r="E25" s="31"/>
      <c r="F25" s="31"/>
      <c r="G25" s="31"/>
      <c r="H25" s="31"/>
      <c r="I25" s="32"/>
      <c r="J25" s="32"/>
      <c r="K25" s="32"/>
    </row>
    <row r="26" spans="1:19" hidden="1" x14ac:dyDescent="0.25"/>
    <row r="27" spans="1:19" ht="15.75" thickBot="1" x14ac:dyDescent="0.3">
      <c r="A27" s="93" t="s">
        <v>1203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1">
        <f>SUM(L10:L26)</f>
        <v>4182752.8384174397</v>
      </c>
      <c r="M27" s="91">
        <f t="shared" ref="M27:Q27" si="4">SUM(M10:M26)</f>
        <v>2703398.2521464513</v>
      </c>
      <c r="N27" s="91">
        <f t="shared" si="4"/>
        <v>2703398.2521464513</v>
      </c>
      <c r="O27" s="91">
        <f t="shared" si="4"/>
        <v>3347212.6469721594</v>
      </c>
      <c r="P27" s="91">
        <f t="shared" si="4"/>
        <v>3494490.0034389351</v>
      </c>
      <c r="Q27" s="91">
        <f t="shared" si="4"/>
        <v>3651742.0535936872</v>
      </c>
    </row>
  </sheetData>
  <sortState xmlns:xlrd2="http://schemas.microsoft.com/office/spreadsheetml/2017/richdata2" ref="A2:Z14">
    <sortCondition ref="D2:D14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S36"/>
  <sheetViews>
    <sheetView zoomScale="110" zoomScaleNormal="110" workbookViewId="0">
      <pane ySplit="4" topLeftCell="A12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1" bestFit="1" customWidth="1"/>
    <col min="2" max="3" width="0" style="1" hidden="1" customWidth="1"/>
    <col min="4" max="4" width="51.875" style="1" customWidth="1"/>
    <col min="5" max="11" width="9.125" style="1" hidden="1" customWidth="1"/>
    <col min="12" max="12" width="12.625" style="1" bestFit="1" customWidth="1"/>
    <col min="13" max="13" width="13.375" style="1" customWidth="1"/>
    <col min="14" max="17" width="13.375" style="161" customWidth="1"/>
    <col min="18" max="18" width="9.125" style="1"/>
    <col min="19" max="19" width="12.625" style="2" bestFit="1" customWidth="1"/>
    <col min="20" max="16384" width="9.125" style="1"/>
  </cols>
  <sheetData>
    <row r="1" spans="1:19" ht="15.75" x14ac:dyDescent="0.25">
      <c r="A1" s="47" t="s">
        <v>1597</v>
      </c>
      <c r="B1" s="47"/>
      <c r="C1" s="47"/>
      <c r="D1" s="47"/>
    </row>
    <row r="2" spans="1:19" ht="15.75" x14ac:dyDescent="0.25">
      <c r="A2" s="19" t="s">
        <v>2342</v>
      </c>
      <c r="B2" s="19"/>
      <c r="C2" s="47"/>
      <c r="D2" s="47"/>
    </row>
    <row r="3" spans="1:19" ht="15.75" x14ac:dyDescent="0.25">
      <c r="A3" s="47" t="s">
        <v>1744</v>
      </c>
      <c r="B3" s="47"/>
      <c r="C3" s="47"/>
      <c r="D3" s="47"/>
    </row>
    <row r="4" spans="1:19" ht="63" customHeight="1" x14ac:dyDescent="0.25">
      <c r="A4" s="1" t="s">
        <v>1202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1" t="s">
        <v>1608</v>
      </c>
    </row>
    <row r="6" spans="1:19" x14ac:dyDescent="0.25">
      <c r="A6" s="3" t="s">
        <v>872</v>
      </c>
      <c r="B6" s="3" t="s">
        <v>290</v>
      </c>
      <c r="C6" s="3" t="s">
        <v>486</v>
      </c>
      <c r="D6" s="3" t="s">
        <v>1616</v>
      </c>
      <c r="E6" s="3" t="s">
        <v>851</v>
      </c>
      <c r="F6" s="3" t="s">
        <v>572</v>
      </c>
      <c r="G6" s="3" t="s">
        <v>16</v>
      </c>
      <c r="H6" s="3" t="s">
        <v>852</v>
      </c>
      <c r="I6" s="4" t="s">
        <v>18</v>
      </c>
      <c r="J6" s="4">
        <v>3</v>
      </c>
      <c r="K6" s="4"/>
      <c r="L6" s="105">
        <v>86787</v>
      </c>
      <c r="M6" s="105">
        <v>86636</v>
      </c>
      <c r="N6" s="105">
        <v>86636</v>
      </c>
      <c r="O6" s="114">
        <v>90000</v>
      </c>
      <c r="P6" s="105">
        <v>92000</v>
      </c>
      <c r="Q6" s="105">
        <v>93000</v>
      </c>
    </row>
    <row r="7" spans="1:19" x14ac:dyDescent="0.25">
      <c r="A7" s="3" t="s">
        <v>873</v>
      </c>
      <c r="B7" s="3" t="s">
        <v>290</v>
      </c>
      <c r="C7" s="3" t="s">
        <v>486</v>
      </c>
      <c r="D7" s="3" t="s">
        <v>1616</v>
      </c>
      <c r="E7" s="3" t="s">
        <v>851</v>
      </c>
      <c r="F7" s="3" t="s">
        <v>574</v>
      </c>
      <c r="G7" s="3" t="s">
        <v>16</v>
      </c>
      <c r="H7" s="3" t="s">
        <v>852</v>
      </c>
      <c r="I7" s="4" t="s">
        <v>18</v>
      </c>
      <c r="J7" s="4">
        <v>3</v>
      </c>
      <c r="K7" s="4"/>
      <c r="L7" s="105">
        <v>62765</v>
      </c>
      <c r="M7" s="105">
        <v>60990</v>
      </c>
      <c r="N7" s="105">
        <v>60990</v>
      </c>
      <c r="O7" s="114">
        <v>70000</v>
      </c>
      <c r="P7" s="105">
        <v>72000</v>
      </c>
      <c r="Q7" s="105">
        <v>73000</v>
      </c>
    </row>
    <row r="8" spans="1:19" x14ac:dyDescent="0.25">
      <c r="A8" s="3" t="s">
        <v>870</v>
      </c>
      <c r="B8" s="3" t="s">
        <v>290</v>
      </c>
      <c r="C8" s="3" t="s">
        <v>486</v>
      </c>
      <c r="D8" s="3" t="s">
        <v>1616</v>
      </c>
      <c r="E8" s="3" t="s">
        <v>851</v>
      </c>
      <c r="F8" s="3" t="s">
        <v>576</v>
      </c>
      <c r="G8" s="3" t="s">
        <v>16</v>
      </c>
      <c r="H8" s="3" t="s">
        <v>852</v>
      </c>
      <c r="I8" s="4" t="s">
        <v>18</v>
      </c>
      <c r="J8" s="4">
        <v>3</v>
      </c>
      <c r="K8" s="4"/>
      <c r="L8" s="105">
        <v>73212</v>
      </c>
      <c r="M8" s="105">
        <v>74062</v>
      </c>
      <c r="N8" s="105">
        <v>74062</v>
      </c>
      <c r="O8" s="114">
        <v>70000</v>
      </c>
      <c r="P8" s="105">
        <v>72000</v>
      </c>
      <c r="Q8" s="105">
        <v>73000</v>
      </c>
    </row>
    <row r="9" spans="1:19" x14ac:dyDescent="0.25">
      <c r="A9" s="3" t="s">
        <v>871</v>
      </c>
      <c r="B9" s="3" t="s">
        <v>290</v>
      </c>
      <c r="C9" s="3" t="s">
        <v>486</v>
      </c>
      <c r="D9" s="3" t="s">
        <v>1616</v>
      </c>
      <c r="E9" s="3" t="s">
        <v>851</v>
      </c>
      <c r="F9" s="3" t="s">
        <v>570</v>
      </c>
      <c r="G9" s="3" t="s">
        <v>16</v>
      </c>
      <c r="H9" s="3" t="s">
        <v>852</v>
      </c>
      <c r="I9" s="4" t="s">
        <v>18</v>
      </c>
      <c r="J9" s="4">
        <v>3</v>
      </c>
      <c r="K9" s="4"/>
      <c r="L9" s="105">
        <v>24847</v>
      </c>
      <c r="M9" s="105">
        <v>15724</v>
      </c>
      <c r="N9" s="105">
        <v>15724</v>
      </c>
      <c r="O9" s="114">
        <v>30000</v>
      </c>
      <c r="P9" s="105">
        <v>32000</v>
      </c>
      <c r="Q9" s="105">
        <v>33000</v>
      </c>
    </row>
    <row r="10" spans="1:19" x14ac:dyDescent="0.25">
      <c r="A10" s="3" t="s">
        <v>864</v>
      </c>
      <c r="B10" s="3" t="s">
        <v>290</v>
      </c>
      <c r="C10" s="3" t="s">
        <v>607</v>
      </c>
      <c r="D10" s="3" t="s">
        <v>1616</v>
      </c>
      <c r="E10" s="3" t="s">
        <v>608</v>
      </c>
      <c r="F10" s="3" t="s">
        <v>295</v>
      </c>
      <c r="G10" s="3" t="s">
        <v>16</v>
      </c>
      <c r="H10" s="3" t="s">
        <v>861</v>
      </c>
      <c r="I10" s="4" t="s">
        <v>38</v>
      </c>
      <c r="J10" s="4">
        <v>1</v>
      </c>
      <c r="K10" s="4"/>
      <c r="L10" s="105">
        <v>124939</v>
      </c>
      <c r="M10" s="105">
        <v>160678</v>
      </c>
      <c r="N10" s="105">
        <v>160678</v>
      </c>
      <c r="O10" s="114">
        <v>130000</v>
      </c>
      <c r="P10" s="105">
        <v>132000</v>
      </c>
      <c r="Q10" s="105">
        <v>133000</v>
      </c>
    </row>
    <row r="11" spans="1:19" x14ac:dyDescent="0.25">
      <c r="A11" s="141" t="s">
        <v>2133</v>
      </c>
      <c r="B11" s="3"/>
      <c r="C11" s="3"/>
      <c r="D11" s="3" t="s">
        <v>2116</v>
      </c>
      <c r="E11" s="3"/>
      <c r="F11" s="3"/>
      <c r="G11" s="3"/>
      <c r="H11" s="3"/>
      <c r="I11" s="4"/>
      <c r="J11" s="4"/>
      <c r="K11" s="4"/>
      <c r="L11" s="105">
        <v>318000</v>
      </c>
      <c r="M11" s="105">
        <v>150000</v>
      </c>
      <c r="N11" s="105">
        <v>150000</v>
      </c>
      <c r="O11" s="114">
        <v>300000</v>
      </c>
      <c r="P11" s="105">
        <v>310000</v>
      </c>
      <c r="Q11" s="105">
        <v>313000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</row>
    <row r="13" spans="1:19" x14ac:dyDescent="0.25">
      <c r="A13" s="18" t="s">
        <v>1609</v>
      </c>
      <c r="B13" s="18"/>
      <c r="C13" s="18"/>
      <c r="D13" s="18"/>
      <c r="E13" s="18"/>
      <c r="F13" s="18"/>
      <c r="G13" s="18"/>
      <c r="H13" s="18"/>
      <c r="L13" s="69">
        <f t="shared" ref="L13:Q13" si="0">SUM(L6:L11)</f>
        <v>690550</v>
      </c>
      <c r="M13" s="69">
        <f t="shared" si="0"/>
        <v>548090</v>
      </c>
      <c r="N13" s="69">
        <f t="shared" si="0"/>
        <v>548090</v>
      </c>
      <c r="O13" s="69">
        <f t="shared" si="0"/>
        <v>690000</v>
      </c>
      <c r="P13" s="69">
        <f t="shared" si="0"/>
        <v>710000</v>
      </c>
      <c r="Q13" s="69">
        <f t="shared" si="0"/>
        <v>718000</v>
      </c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</row>
    <row r="15" spans="1:19" x14ac:dyDescent="0.25">
      <c r="A15" s="3" t="s">
        <v>863</v>
      </c>
      <c r="B15" s="3" t="s">
        <v>11</v>
      </c>
      <c r="C15" s="3" t="s">
        <v>12</v>
      </c>
      <c r="D15" s="3" t="s">
        <v>157</v>
      </c>
      <c r="E15" s="3" t="s">
        <v>851</v>
      </c>
      <c r="F15" s="3" t="s">
        <v>15</v>
      </c>
      <c r="G15" s="3" t="s">
        <v>16</v>
      </c>
      <c r="H15" s="3" t="s">
        <v>852</v>
      </c>
      <c r="I15" s="4" t="s">
        <v>18</v>
      </c>
      <c r="J15" s="4">
        <v>3</v>
      </c>
      <c r="K15" s="4"/>
      <c r="L15" s="6">
        <v>2450335.77024</v>
      </c>
      <c r="M15" s="6">
        <v>1850907.98</v>
      </c>
      <c r="N15" s="6">
        <v>1850907.98</v>
      </c>
      <c r="O15" s="6">
        <f>S15</f>
        <v>2500217.4825599999</v>
      </c>
      <c r="P15" s="6">
        <f>O15*1.044</f>
        <v>2610227.0517926402</v>
      </c>
      <c r="Q15" s="6">
        <f>P15*1.045</f>
        <v>2727687.2691233088</v>
      </c>
      <c r="S15" s="147">
        <f>'[1]6267CEM'!$E$20</f>
        <v>2500217.4825599999</v>
      </c>
    </row>
    <row r="16" spans="1:19" s="107" customFormat="1" x14ac:dyDescent="0.25">
      <c r="A16" s="52" t="s">
        <v>857</v>
      </c>
      <c r="B16" s="52" t="s">
        <v>11</v>
      </c>
      <c r="C16" s="52" t="s">
        <v>12</v>
      </c>
      <c r="D16" s="52" t="s">
        <v>1630</v>
      </c>
      <c r="E16" s="52" t="s">
        <v>851</v>
      </c>
      <c r="F16" s="52" t="s">
        <v>15</v>
      </c>
      <c r="G16" s="52" t="s">
        <v>16</v>
      </c>
      <c r="H16" s="52" t="s">
        <v>852</v>
      </c>
      <c r="I16" s="104" t="s">
        <v>18</v>
      </c>
      <c r="J16" s="104">
        <v>3</v>
      </c>
      <c r="K16" s="104"/>
      <c r="L16" s="114">
        <v>60000</v>
      </c>
      <c r="M16" s="6">
        <v>110000</v>
      </c>
      <c r="N16" s="6">
        <v>110000</v>
      </c>
      <c r="O16" s="6">
        <v>110000</v>
      </c>
      <c r="P16" s="6">
        <f t="shared" ref="P16:P28" si="1">O16*1.044</f>
        <v>114840</v>
      </c>
      <c r="Q16" s="6">
        <f t="shared" ref="Q16:Q28" si="2">P16*1.045</f>
        <v>120007.79999999999</v>
      </c>
      <c r="S16" s="145"/>
    </row>
    <row r="17" spans="1:19" x14ac:dyDescent="0.25">
      <c r="A17" s="3" t="s">
        <v>858</v>
      </c>
      <c r="B17" s="3" t="s">
        <v>11</v>
      </c>
      <c r="C17" s="3" t="s">
        <v>12</v>
      </c>
      <c r="D17" s="3" t="s">
        <v>153</v>
      </c>
      <c r="E17" s="3" t="s">
        <v>851</v>
      </c>
      <c r="F17" s="3" t="s">
        <v>15</v>
      </c>
      <c r="G17" s="3" t="s">
        <v>16</v>
      </c>
      <c r="H17" s="3" t="s">
        <v>852</v>
      </c>
      <c r="I17" s="4" t="s">
        <v>18</v>
      </c>
      <c r="J17" s="4">
        <v>3</v>
      </c>
      <c r="K17" s="4"/>
      <c r="L17" s="6">
        <v>204194.64751999997</v>
      </c>
      <c r="M17" s="6">
        <v>196432.76</v>
      </c>
      <c r="N17" s="6">
        <v>196432.76</v>
      </c>
      <c r="O17" s="6">
        <f t="shared" ref="O17:O28" si="3">S17</f>
        <v>208351.45688000001</v>
      </c>
      <c r="P17" s="6">
        <f t="shared" si="1"/>
        <v>217518.92098272001</v>
      </c>
      <c r="Q17" s="6">
        <f t="shared" si="2"/>
        <v>227307.27242694239</v>
      </c>
      <c r="S17" s="147">
        <f>'[1]6267CEM'!$I$20</f>
        <v>208351.45688000001</v>
      </c>
    </row>
    <row r="18" spans="1:19" hidden="1" x14ac:dyDescent="0.25">
      <c r="A18" s="3" t="s">
        <v>859</v>
      </c>
      <c r="B18" s="3" t="s">
        <v>11</v>
      </c>
      <c r="C18" s="3" t="s">
        <v>12</v>
      </c>
      <c r="D18" s="3" t="s">
        <v>155</v>
      </c>
      <c r="E18" s="3" t="s">
        <v>851</v>
      </c>
      <c r="F18" s="3" t="s">
        <v>15</v>
      </c>
      <c r="G18" s="3" t="s">
        <v>16</v>
      </c>
      <c r="H18" s="3" t="s">
        <v>852</v>
      </c>
      <c r="I18" s="4" t="s">
        <v>18</v>
      </c>
      <c r="J18" s="4">
        <v>3</v>
      </c>
      <c r="K18" s="4"/>
      <c r="L18" s="6">
        <v>0</v>
      </c>
      <c r="M18" s="6">
        <v>0</v>
      </c>
      <c r="N18" s="6">
        <v>0</v>
      </c>
      <c r="O18" s="6">
        <f t="shared" si="3"/>
        <v>0</v>
      </c>
      <c r="P18" s="6">
        <f t="shared" si="1"/>
        <v>0</v>
      </c>
      <c r="Q18" s="6">
        <f t="shared" si="2"/>
        <v>0</v>
      </c>
      <c r="S18" s="147"/>
    </row>
    <row r="19" spans="1:19" x14ac:dyDescent="0.25">
      <c r="A19" s="3" t="s">
        <v>855</v>
      </c>
      <c r="B19" s="3" t="s">
        <v>11</v>
      </c>
      <c r="C19" s="3" t="s">
        <v>12</v>
      </c>
      <c r="D19" s="3" t="s">
        <v>41</v>
      </c>
      <c r="E19" s="3" t="s">
        <v>851</v>
      </c>
      <c r="F19" s="3" t="s">
        <v>15</v>
      </c>
      <c r="G19" s="3" t="s">
        <v>16</v>
      </c>
      <c r="H19" s="3" t="s">
        <v>852</v>
      </c>
      <c r="I19" s="4" t="s">
        <v>18</v>
      </c>
      <c r="J19" s="4">
        <v>3</v>
      </c>
      <c r="K19" s="4"/>
      <c r="L19" s="6">
        <v>539073.8694527999</v>
      </c>
      <c r="M19" s="6">
        <v>378043.95599999995</v>
      </c>
      <c r="N19" s="6">
        <v>378043.95599999995</v>
      </c>
      <c r="O19" s="6">
        <f t="shared" si="3"/>
        <v>550047.84616319987</v>
      </c>
      <c r="P19" s="6">
        <f t="shared" si="1"/>
        <v>574249.95139438065</v>
      </c>
      <c r="Q19" s="6">
        <f t="shared" si="2"/>
        <v>600091.19920712779</v>
      </c>
      <c r="S19" s="147">
        <f>'[1]6267CEM'!$K$20</f>
        <v>550047.84616319987</v>
      </c>
    </row>
    <row r="20" spans="1:19" x14ac:dyDescent="0.25">
      <c r="A20" s="3" t="s">
        <v>854</v>
      </c>
      <c r="B20" s="3" t="s">
        <v>11</v>
      </c>
      <c r="C20" s="3" t="s">
        <v>12</v>
      </c>
      <c r="D20" s="3" t="s">
        <v>36</v>
      </c>
      <c r="E20" s="3" t="s">
        <v>851</v>
      </c>
      <c r="F20" s="3" t="s">
        <v>15</v>
      </c>
      <c r="G20" s="3" t="s">
        <v>16</v>
      </c>
      <c r="H20" s="3" t="s">
        <v>852</v>
      </c>
      <c r="I20" s="4" t="s">
        <v>18</v>
      </c>
      <c r="J20" s="4">
        <v>3</v>
      </c>
      <c r="K20" s="4"/>
      <c r="L20" s="6">
        <v>55065.600000000006</v>
      </c>
      <c r="M20" s="6">
        <v>95956.800000000003</v>
      </c>
      <c r="N20" s="6">
        <v>95956.800000000003</v>
      </c>
      <c r="O20" s="6">
        <f t="shared" si="3"/>
        <v>97459.200000000012</v>
      </c>
      <c r="P20" s="6">
        <f t="shared" si="1"/>
        <v>101747.40480000002</v>
      </c>
      <c r="Q20" s="6">
        <f t="shared" si="2"/>
        <v>106326.03801600001</v>
      </c>
      <c r="S20" s="147">
        <f>'[1]6267CEM'!$L$20</f>
        <v>97459.200000000012</v>
      </c>
    </row>
    <row r="21" spans="1:19" hidden="1" x14ac:dyDescent="0.25">
      <c r="A21" s="3" t="s">
        <v>862</v>
      </c>
      <c r="B21" s="3" t="s">
        <v>11</v>
      </c>
      <c r="C21" s="3" t="s">
        <v>12</v>
      </c>
      <c r="D21" s="3" t="s">
        <v>47</v>
      </c>
      <c r="E21" s="3" t="s">
        <v>851</v>
      </c>
      <c r="F21" s="3" t="s">
        <v>15</v>
      </c>
      <c r="G21" s="3" t="s">
        <v>16</v>
      </c>
      <c r="H21" s="3" t="s">
        <v>852</v>
      </c>
      <c r="I21" s="4" t="s">
        <v>18</v>
      </c>
      <c r="J21" s="4">
        <v>3</v>
      </c>
      <c r="K21" s="4"/>
      <c r="L21" s="6">
        <v>0</v>
      </c>
      <c r="M21" s="6">
        <v>0</v>
      </c>
      <c r="N21" s="6">
        <v>0</v>
      </c>
      <c r="O21" s="6">
        <f t="shared" si="3"/>
        <v>0</v>
      </c>
      <c r="P21" s="6">
        <f t="shared" si="1"/>
        <v>0</v>
      </c>
      <c r="Q21" s="6">
        <f t="shared" si="2"/>
        <v>0</v>
      </c>
      <c r="S21" s="147"/>
    </row>
    <row r="22" spans="1:19" hidden="1" x14ac:dyDescent="0.25">
      <c r="A22" s="3" t="s">
        <v>874</v>
      </c>
      <c r="B22" s="3" t="s">
        <v>11</v>
      </c>
      <c r="C22" s="3" t="s">
        <v>12</v>
      </c>
      <c r="D22" s="3" t="s">
        <v>45</v>
      </c>
      <c r="E22" s="3" t="s">
        <v>608</v>
      </c>
      <c r="F22" s="3" t="s">
        <v>37</v>
      </c>
      <c r="G22" s="3" t="s">
        <v>16</v>
      </c>
      <c r="H22" s="3" t="s">
        <v>861</v>
      </c>
      <c r="I22" s="4" t="s">
        <v>38</v>
      </c>
      <c r="J22" s="4">
        <v>3</v>
      </c>
      <c r="K22" s="4"/>
      <c r="L22" s="6">
        <v>0</v>
      </c>
      <c r="M22" s="6">
        <v>0</v>
      </c>
      <c r="N22" s="6">
        <v>0</v>
      </c>
      <c r="O22" s="6">
        <f t="shared" si="3"/>
        <v>0</v>
      </c>
      <c r="P22" s="6">
        <f t="shared" si="1"/>
        <v>0</v>
      </c>
      <c r="Q22" s="6">
        <f t="shared" si="2"/>
        <v>0</v>
      </c>
      <c r="S22" s="147"/>
    </row>
    <row r="23" spans="1:19" x14ac:dyDescent="0.25">
      <c r="A23" s="3" t="s">
        <v>853</v>
      </c>
      <c r="B23" s="3" t="s">
        <v>11</v>
      </c>
      <c r="C23" s="3" t="s">
        <v>12</v>
      </c>
      <c r="D23" s="3" t="s">
        <v>151</v>
      </c>
      <c r="E23" s="3" t="s">
        <v>851</v>
      </c>
      <c r="F23" s="3" t="s">
        <v>15</v>
      </c>
      <c r="G23" s="3" t="s">
        <v>16</v>
      </c>
      <c r="H23" s="3" t="s">
        <v>852</v>
      </c>
      <c r="I23" s="4" t="s">
        <v>18</v>
      </c>
      <c r="J23" s="4">
        <v>3</v>
      </c>
      <c r="K23" s="4"/>
      <c r="L23" s="6">
        <v>1900.7999999999995</v>
      </c>
      <c r="M23" s="6">
        <v>1493.4999999999995</v>
      </c>
      <c r="N23" s="6">
        <v>1493.4999999999995</v>
      </c>
      <c r="O23" s="6">
        <f t="shared" si="3"/>
        <v>1977.5999999999995</v>
      </c>
      <c r="P23" s="6">
        <f t="shared" si="1"/>
        <v>2064.6143999999995</v>
      </c>
      <c r="Q23" s="6">
        <f t="shared" si="2"/>
        <v>2157.5220479999994</v>
      </c>
      <c r="S23" s="147">
        <f>'[1]6267CEM'!$R$20</f>
        <v>1977.5999999999995</v>
      </c>
    </row>
    <row r="24" spans="1:19" hidden="1" x14ac:dyDescent="0.25">
      <c r="A24" s="3" t="s">
        <v>860</v>
      </c>
      <c r="B24" s="3" t="s">
        <v>11</v>
      </c>
      <c r="C24" s="3" t="s">
        <v>12</v>
      </c>
      <c r="D24" s="3" t="s">
        <v>156</v>
      </c>
      <c r="E24" s="3" t="s">
        <v>608</v>
      </c>
      <c r="F24" s="3" t="s">
        <v>37</v>
      </c>
      <c r="G24" s="3" t="s">
        <v>16</v>
      </c>
      <c r="H24" s="3" t="s">
        <v>861</v>
      </c>
      <c r="I24" s="4" t="s">
        <v>38</v>
      </c>
      <c r="J24" s="4">
        <v>1</v>
      </c>
      <c r="K24" s="4"/>
      <c r="L24" s="6">
        <v>0</v>
      </c>
      <c r="M24" s="6">
        <v>0</v>
      </c>
      <c r="N24" s="6">
        <v>0</v>
      </c>
      <c r="O24" s="6">
        <f t="shared" si="3"/>
        <v>0</v>
      </c>
      <c r="P24" s="6">
        <f t="shared" si="1"/>
        <v>0</v>
      </c>
      <c r="Q24" s="6">
        <f t="shared" si="2"/>
        <v>0</v>
      </c>
      <c r="S24" s="147"/>
    </row>
    <row r="25" spans="1:19" x14ac:dyDescent="0.25">
      <c r="A25" s="3" t="s">
        <v>856</v>
      </c>
      <c r="B25" s="3" t="s">
        <v>11</v>
      </c>
      <c r="C25" s="3" t="s">
        <v>12</v>
      </c>
      <c r="D25" s="3" t="s">
        <v>43</v>
      </c>
      <c r="E25" s="3" t="s">
        <v>851</v>
      </c>
      <c r="F25" s="3" t="s">
        <v>15</v>
      </c>
      <c r="G25" s="3" t="s">
        <v>16</v>
      </c>
      <c r="H25" s="3" t="s">
        <v>852</v>
      </c>
      <c r="I25" s="4" t="s">
        <v>18</v>
      </c>
      <c r="J25" s="4">
        <v>3</v>
      </c>
      <c r="K25" s="4"/>
      <c r="L25" s="6">
        <v>23673.6411444</v>
      </c>
      <c r="M25" s="6">
        <v>21664.498945740801</v>
      </c>
      <c r="N25" s="6">
        <v>21664.498945740801</v>
      </c>
      <c r="O25" s="6">
        <f t="shared" si="3"/>
        <v>23944.953415200005</v>
      </c>
      <c r="P25" s="6">
        <f t="shared" si="1"/>
        <v>24998.531365468807</v>
      </c>
      <c r="Q25" s="6">
        <f t="shared" si="2"/>
        <v>26123.465276914903</v>
      </c>
      <c r="S25" s="147">
        <f>'[1]6267CEM'!$T$20</f>
        <v>23944.953415200005</v>
      </c>
    </row>
    <row r="26" spans="1:19" x14ac:dyDescent="0.25">
      <c r="A26" s="3" t="s">
        <v>875</v>
      </c>
      <c r="B26" s="3" t="s">
        <v>11</v>
      </c>
      <c r="C26" s="3" t="s">
        <v>12</v>
      </c>
      <c r="D26" s="3" t="s">
        <v>162</v>
      </c>
      <c r="E26" s="3" t="s">
        <v>608</v>
      </c>
      <c r="F26" s="3" t="s">
        <v>37</v>
      </c>
      <c r="G26" s="3" t="s">
        <v>16</v>
      </c>
      <c r="H26" s="3" t="s">
        <v>861</v>
      </c>
      <c r="I26" s="4" t="s">
        <v>38</v>
      </c>
      <c r="J26" s="4">
        <v>1</v>
      </c>
      <c r="K26" s="4"/>
      <c r="L26" s="6">
        <v>123814.79276543998</v>
      </c>
      <c r="M26" s="6">
        <v>123343.49457407999</v>
      </c>
      <c r="N26" s="6">
        <v>123343.49457407999</v>
      </c>
      <c r="O26" s="6">
        <f t="shared" si="3"/>
        <v>95836.89</v>
      </c>
      <c r="P26" s="6">
        <f t="shared" si="1"/>
        <v>100053.71316</v>
      </c>
      <c r="Q26" s="6">
        <f t="shared" si="2"/>
        <v>104556.13025219999</v>
      </c>
      <c r="S26" s="147">
        <f>'[1]6267CEM'!$F$20</f>
        <v>95836.89</v>
      </c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M27" s="6"/>
      <c r="N27" s="6"/>
      <c r="O27" s="6"/>
      <c r="P27" s="6"/>
      <c r="Q27" s="6"/>
      <c r="S27" s="147"/>
    </row>
    <row r="28" spans="1:19" x14ac:dyDescent="0.25">
      <c r="A28" s="3" t="s">
        <v>850</v>
      </c>
      <c r="B28" s="3" t="s">
        <v>11</v>
      </c>
      <c r="C28" s="3" t="s">
        <v>12</v>
      </c>
      <c r="D28" s="3" t="s">
        <v>30</v>
      </c>
      <c r="E28" s="3" t="s">
        <v>851</v>
      </c>
      <c r="F28" s="3" t="s">
        <v>15</v>
      </c>
      <c r="G28" s="3" t="s">
        <v>16</v>
      </c>
      <c r="H28" s="3" t="s">
        <v>852</v>
      </c>
      <c r="I28" s="4" t="s">
        <v>18</v>
      </c>
      <c r="J28" s="4">
        <v>3</v>
      </c>
      <c r="K28" s="4"/>
      <c r="L28" s="6">
        <v>24503.357702399997</v>
      </c>
      <c r="M28" s="6">
        <v>19834.218000000001</v>
      </c>
      <c r="N28" s="6">
        <v>19834.218000000001</v>
      </c>
      <c r="O28" s="6">
        <f t="shared" si="3"/>
        <v>25002.174825599999</v>
      </c>
      <c r="P28" s="6">
        <f t="shared" si="1"/>
        <v>26102.270517926401</v>
      </c>
      <c r="Q28" s="6">
        <f t="shared" si="2"/>
        <v>27276.872691233086</v>
      </c>
      <c r="S28" s="147">
        <f>'[1]6267CEM'!$Q$20</f>
        <v>25002.174825599999</v>
      </c>
    </row>
    <row r="29" spans="1:19" s="161" customFormat="1" x14ac:dyDescent="0.25">
      <c r="A29" s="182" t="s">
        <v>2338</v>
      </c>
      <c r="B29" s="166"/>
      <c r="C29" s="166"/>
      <c r="D29" s="166" t="s">
        <v>2254</v>
      </c>
      <c r="E29" s="166"/>
      <c r="F29" s="166"/>
      <c r="G29" s="166"/>
      <c r="H29" s="166"/>
      <c r="I29" s="163"/>
      <c r="J29" s="163"/>
      <c r="K29" s="163"/>
      <c r="L29" s="6">
        <v>0</v>
      </c>
      <c r="M29" s="6">
        <v>0</v>
      </c>
      <c r="N29" s="6">
        <v>0</v>
      </c>
      <c r="O29" s="6">
        <v>300000</v>
      </c>
      <c r="P29" s="6">
        <v>0</v>
      </c>
      <c r="Q29" s="6">
        <v>0</v>
      </c>
      <c r="S29" s="147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4"/>
      <c r="J30" s="4"/>
      <c r="K30" s="4"/>
    </row>
    <row r="31" spans="1:19" x14ac:dyDescent="0.25">
      <c r="A31" s="3" t="s">
        <v>865</v>
      </c>
      <c r="B31" s="3" t="s">
        <v>866</v>
      </c>
      <c r="C31" s="3" t="s">
        <v>12</v>
      </c>
      <c r="D31" s="3" t="s">
        <v>1681</v>
      </c>
      <c r="E31" s="3" t="s">
        <v>851</v>
      </c>
      <c r="F31" s="3" t="s">
        <v>292</v>
      </c>
      <c r="G31" s="3" t="s">
        <v>16</v>
      </c>
      <c r="H31" s="3" t="s">
        <v>852</v>
      </c>
      <c r="I31" s="4" t="s">
        <v>18</v>
      </c>
      <c r="J31" s="4">
        <v>3</v>
      </c>
      <c r="K31" s="4"/>
      <c r="L31" s="38">
        <v>0</v>
      </c>
      <c r="M31" s="38">
        <v>0</v>
      </c>
      <c r="N31" s="38">
        <v>0</v>
      </c>
      <c r="O31" s="38">
        <v>100000</v>
      </c>
      <c r="P31" s="38">
        <v>100000</v>
      </c>
      <c r="Q31" s="38">
        <v>100000</v>
      </c>
    </row>
    <row r="32" spans="1:19" hidden="1" x14ac:dyDescent="0.25">
      <c r="A32" s="3" t="s">
        <v>867</v>
      </c>
      <c r="B32" s="3" t="s">
        <v>868</v>
      </c>
      <c r="C32" s="3" t="s">
        <v>546</v>
      </c>
      <c r="D32" s="3" t="s">
        <v>869</v>
      </c>
      <c r="E32" s="3" t="s">
        <v>608</v>
      </c>
      <c r="F32" s="3" t="s">
        <v>295</v>
      </c>
      <c r="G32" s="3" t="s">
        <v>16</v>
      </c>
      <c r="H32" s="3" t="s">
        <v>861</v>
      </c>
      <c r="I32" s="4" t="s">
        <v>38</v>
      </c>
      <c r="J32" s="4">
        <v>1</v>
      </c>
      <c r="K32" s="4"/>
    </row>
    <row r="34" spans="1:17" ht="15.75" thickBot="1" x14ac:dyDescent="0.3">
      <c r="A34" s="16" t="s">
        <v>1203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41">
        <f t="shared" ref="L34:Q34" si="4">SUM(L15:L33)</f>
        <v>3482562.4788250402</v>
      </c>
      <c r="M34" s="41">
        <f t="shared" si="4"/>
        <v>2797677.2075198204</v>
      </c>
      <c r="N34" s="41">
        <f t="shared" si="4"/>
        <v>2797677.2075198204</v>
      </c>
      <c r="O34" s="41">
        <f t="shared" si="4"/>
        <v>4012837.603844</v>
      </c>
      <c r="P34" s="41">
        <f t="shared" si="4"/>
        <v>3871802.4584131353</v>
      </c>
      <c r="Q34" s="41">
        <f t="shared" si="4"/>
        <v>4041533.5690417266</v>
      </c>
    </row>
    <row r="35" spans="1:17" x14ac:dyDescent="0.25">
      <c r="O35" s="2"/>
    </row>
    <row r="36" spans="1:17" x14ac:dyDescent="0.25">
      <c r="O36" s="183"/>
    </row>
  </sheetData>
  <sortState xmlns:xlrd2="http://schemas.microsoft.com/office/spreadsheetml/2017/richdata2" ref="A2:Z22">
    <sortCondition ref="D2:D22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>
      <selection activeCell="H5" sqref="H5"/>
    </sheetView>
  </sheetViews>
  <sheetFormatPr defaultColWidth="8" defaultRowHeight="15.75" x14ac:dyDescent="0.25"/>
  <cols>
    <col min="1" max="1" width="2.375" style="20" customWidth="1"/>
    <col min="2" max="2" width="32.375" style="20" customWidth="1"/>
    <col min="3" max="3" width="2.375" style="20" customWidth="1"/>
    <col min="4" max="4" width="2.125" style="20" customWidth="1"/>
    <col min="5" max="5" width="18.75" style="20" customWidth="1"/>
    <col min="6" max="6" width="18.375" style="20" customWidth="1"/>
    <col min="7" max="7" width="18.375" style="167" customWidth="1"/>
    <col min="8" max="8" width="18.5" style="20" customWidth="1"/>
    <col min="9" max="9" width="18.125" style="20" customWidth="1"/>
    <col min="10" max="10" width="18.625" style="20" customWidth="1"/>
    <col min="11" max="16384" width="8" style="20"/>
  </cols>
  <sheetData>
    <row r="1" spans="1:10" x14ac:dyDescent="0.25">
      <c r="A1" s="19" t="s">
        <v>1597</v>
      </c>
      <c r="B1" s="19"/>
      <c r="C1" s="19"/>
      <c r="D1" s="19"/>
    </row>
    <row r="2" spans="1:10" x14ac:dyDescent="0.25">
      <c r="A2" s="19" t="s">
        <v>2342</v>
      </c>
      <c r="B2" s="19"/>
      <c r="D2" s="25"/>
      <c r="E2" s="25"/>
    </row>
    <row r="3" spans="1:10" s="19" customFormat="1" x14ac:dyDescent="0.25">
      <c r="A3" s="19" t="s">
        <v>1598</v>
      </c>
    </row>
    <row r="4" spans="1:10" s="19" customFormat="1" ht="45" x14ac:dyDescent="0.25">
      <c r="E4" s="48" t="s">
        <v>2193</v>
      </c>
      <c r="F4" s="48" t="s">
        <v>2230</v>
      </c>
      <c r="G4" s="48" t="s">
        <v>2340</v>
      </c>
      <c r="H4" s="48" t="s">
        <v>2343</v>
      </c>
      <c r="I4" s="48" t="s">
        <v>2228</v>
      </c>
      <c r="J4" s="48" t="s">
        <v>2229</v>
      </c>
    </row>
    <row r="5" spans="1:10" x14ac:dyDescent="0.25">
      <c r="B5" s="19" t="s">
        <v>1599</v>
      </c>
    </row>
    <row r="6" spans="1:10" x14ac:dyDescent="0.25">
      <c r="B6" s="20" t="s">
        <v>1605</v>
      </c>
      <c r="E6" s="143">
        <f>PROJECTS!J225</f>
        <v>135254206.97999999</v>
      </c>
      <c r="F6" s="143">
        <f>PROJECTS!K225</f>
        <v>168662022</v>
      </c>
      <c r="G6" s="143">
        <f>PROJECTS!L225</f>
        <v>168662022</v>
      </c>
      <c r="H6" s="143">
        <f>PROJECTS!M225</f>
        <v>176006228.40000001</v>
      </c>
      <c r="I6" s="143">
        <f>PROJECTS!N225</f>
        <v>181650116.66</v>
      </c>
      <c r="J6" s="143">
        <f>PROJECTS!O225</f>
        <v>161102161.91</v>
      </c>
    </row>
    <row r="7" spans="1:10" x14ac:dyDescent="0.25">
      <c r="B7" s="20" t="s">
        <v>1604</v>
      </c>
      <c r="E7" s="21">
        <f>PROGRAMMES!N200</f>
        <v>32420000</v>
      </c>
      <c r="F7" s="21">
        <f>PROGRAMMES!O200</f>
        <v>32462000</v>
      </c>
      <c r="G7" s="168">
        <f>PROGRAMMES!P200</f>
        <v>32462000</v>
      </c>
      <c r="H7" s="168">
        <f>PROGRAMMES!Q200</f>
        <v>32728000</v>
      </c>
      <c r="I7" s="168">
        <f>PROGRAMMES!R200</f>
        <v>29746000</v>
      </c>
      <c r="J7" s="168">
        <f>PROGRAMMES!S200</f>
        <v>31640000</v>
      </c>
    </row>
    <row r="8" spans="1:10" x14ac:dyDescent="0.25">
      <c r="B8" s="20" t="s">
        <v>1090</v>
      </c>
      <c r="E8" s="21">
        <f>'6805_Council Services'!L55</f>
        <v>38212876.46828761</v>
      </c>
      <c r="F8" s="21">
        <f>'6805_Council Services'!M55</f>
        <v>31494211.229200006</v>
      </c>
      <c r="G8" s="168">
        <f>'6805_Council Services'!N55</f>
        <v>31494211.229200006</v>
      </c>
      <c r="H8" s="168">
        <f>'6805_Council Services'!O55</f>
        <v>34080224.833061598</v>
      </c>
      <c r="I8" s="168">
        <f>'6805_Council Services'!P55</f>
        <v>35494330.725716315</v>
      </c>
      <c r="J8" s="168">
        <f>'6805_Council Services'!Q55</f>
        <v>36977905.608373538</v>
      </c>
    </row>
    <row r="9" spans="1:10" x14ac:dyDescent="0.25">
      <c r="B9" s="20" t="s">
        <v>17</v>
      </c>
      <c r="E9" s="21">
        <f>'6053_Senior Management'!L98</f>
        <v>7559181.427201598</v>
      </c>
      <c r="F9" s="21">
        <f>'6053_Senior Management'!M98</f>
        <v>6337274.8538048007</v>
      </c>
      <c r="G9" s="168">
        <f>'6053_Senior Management'!N98</f>
        <v>6337274.8538048007</v>
      </c>
      <c r="H9" s="168">
        <f>'6053_Senior Management'!O98</f>
        <v>7324645.7242480014</v>
      </c>
      <c r="I9" s="168">
        <f>'6053_Senior Management'!P98</f>
        <v>7629066.1361149112</v>
      </c>
      <c r="J9" s="168">
        <f>'6053_Senior Management'!Q98</f>
        <v>7954104.1122400854</v>
      </c>
    </row>
    <row r="10" spans="1:10" x14ac:dyDescent="0.25">
      <c r="B10" s="20" t="s">
        <v>2104</v>
      </c>
      <c r="E10" s="21">
        <f>'6055_PMU'!L48</f>
        <v>3535716.8997912002</v>
      </c>
      <c r="F10" s="21">
        <f>'6055_PMU'!M48</f>
        <v>3347788.0021999991</v>
      </c>
      <c r="G10" s="168">
        <f>'6055_PMU'!N48</f>
        <v>3347788.0021999991</v>
      </c>
      <c r="H10" s="168">
        <f>'6055_PMU'!O48</f>
        <v>8023601.3997943997</v>
      </c>
      <c r="I10" s="168">
        <f>'6055_PMU'!P48</f>
        <v>4075449.3973853528</v>
      </c>
      <c r="J10" s="168">
        <f>'6055_PMU'!Q48</f>
        <v>4267589.620267693</v>
      </c>
    </row>
    <row r="11" spans="1:10" x14ac:dyDescent="0.25">
      <c r="B11" s="20" t="s">
        <v>1607</v>
      </c>
      <c r="E11" s="21">
        <f>'6057_Risk Mgt'!L39</f>
        <v>11731434.469481438</v>
      </c>
      <c r="F11" s="21">
        <f>'6057_Risk Mgt'!M39</f>
        <v>11892083.499869118</v>
      </c>
      <c r="G11" s="168">
        <f>'6057_Risk Mgt'!N39</f>
        <v>11892083.499869118</v>
      </c>
      <c r="H11" s="168">
        <f>'6057_Risk Mgt'!O39</f>
        <v>12588067.588951521</v>
      </c>
      <c r="I11" s="168">
        <f>'6057_Risk Mgt'!P39</f>
        <v>13118217.762865389</v>
      </c>
      <c r="J11" s="168">
        <f>'6057_Risk Mgt'!Q39</f>
        <v>13684273.562194332</v>
      </c>
    </row>
    <row r="12" spans="1:10" x14ac:dyDescent="0.25">
      <c r="B12" s="20" t="s">
        <v>217</v>
      </c>
      <c r="E12" s="25">
        <f>'6059_Internal Audit'!L36</f>
        <v>2765377.9724968006</v>
      </c>
      <c r="F12" s="25">
        <f>'6059_Internal Audit'!M36</f>
        <v>2760083.3670000001</v>
      </c>
      <c r="G12" s="25">
        <f>'6059_Internal Audit'!N36</f>
        <v>2760083.3670000001</v>
      </c>
      <c r="H12" s="25">
        <f>'6059_Internal Audit'!O36</f>
        <v>2906846.0031559994</v>
      </c>
      <c r="I12" s="25">
        <f>'6059_Internal Audit'!P36</f>
        <v>3022810.027294863</v>
      </c>
      <c r="J12" s="25">
        <f>'6059_Internal Audit'!Q36</f>
        <v>3146627.9785231315</v>
      </c>
    </row>
    <row r="13" spans="1:10" x14ac:dyDescent="0.25">
      <c r="B13" s="20" t="s">
        <v>248</v>
      </c>
      <c r="E13" s="21">
        <f>'6103_HRM'!L33</f>
        <v>7583206.1475047991</v>
      </c>
      <c r="F13" s="21">
        <f>'6103_HRM'!M33</f>
        <v>7435199.7776412405</v>
      </c>
      <c r="G13" s="168">
        <f>'6103_HRM'!N33</f>
        <v>7435199.7776412405</v>
      </c>
      <c r="H13" s="168">
        <f>'6103_HRM'!O33</f>
        <v>8561152.6845135987</v>
      </c>
      <c r="I13" s="168">
        <f>'6103_HRM'!P33</f>
        <v>8922637.4026321974</v>
      </c>
      <c r="J13" s="168">
        <f>'6103_HRM'!Q33</f>
        <v>9249064.0857506469</v>
      </c>
    </row>
    <row r="14" spans="1:10" x14ac:dyDescent="0.25">
      <c r="B14" s="20" t="s">
        <v>280</v>
      </c>
      <c r="E14" s="21">
        <f>'6104_HRD'!L43</f>
        <v>6695899.3060152</v>
      </c>
      <c r="F14" s="21">
        <f>'6104_HRD'!M43</f>
        <v>6206369.8558799997</v>
      </c>
      <c r="G14" s="168">
        <f>'6104_HRD'!N43</f>
        <v>6206369.8558799997</v>
      </c>
      <c r="H14" s="168">
        <f>'6104_HRD'!O43</f>
        <v>8116268.6487775994</v>
      </c>
      <c r="I14" s="168">
        <f>'6104_HRD'!P43</f>
        <v>8405200.4693238139</v>
      </c>
      <c r="J14" s="168">
        <f>'6104_HRD'!Q43</f>
        <v>8596119.4904433861</v>
      </c>
    </row>
    <row r="15" spans="1:10" x14ac:dyDescent="0.25">
      <c r="B15" s="20" t="s">
        <v>324</v>
      </c>
      <c r="E15" s="21">
        <f>'6105_Information Tech'!L39</f>
        <v>14798312.5239744</v>
      </c>
      <c r="F15" s="21">
        <f>'6105_Information Tech'!M39</f>
        <v>14999842.816400001</v>
      </c>
      <c r="G15" s="168">
        <f>'6105_Information Tech'!N39</f>
        <v>14999842.816400001</v>
      </c>
      <c r="H15" s="168">
        <f>'6105_Information Tech'!O39</f>
        <v>14785194.792905599</v>
      </c>
      <c r="I15" s="168">
        <f>'6105_Information Tech'!P39</f>
        <v>15944416.163793446</v>
      </c>
      <c r="J15" s="168">
        <f>'6105_Information Tech'!Q39</f>
        <v>17584915.291164152</v>
      </c>
    </row>
    <row r="16" spans="1:10" x14ac:dyDescent="0.25">
      <c r="B16" s="20" t="s">
        <v>364</v>
      </c>
      <c r="E16" s="22">
        <f>'6107_Property Services'!L42</f>
        <v>13265664.809476161</v>
      </c>
      <c r="F16" s="22">
        <f>'6107_Property Services'!M42</f>
        <v>10294044.659408076</v>
      </c>
      <c r="G16" s="22">
        <f>'6107_Property Services'!N42</f>
        <v>10294044.659408076</v>
      </c>
      <c r="H16" s="22">
        <f>'6107_Property Services'!O42</f>
        <v>14114855.243353039</v>
      </c>
      <c r="I16" s="22">
        <f>'6107_Property Services'!P42</f>
        <v>14949180.874060573</v>
      </c>
      <c r="J16" s="22">
        <f>'6107_Property Services'!Q42</f>
        <v>16122209.013393298</v>
      </c>
    </row>
    <row r="17" spans="2:10" x14ac:dyDescent="0.25">
      <c r="B17" s="20" t="s">
        <v>250</v>
      </c>
      <c r="E17" s="21">
        <f>'6108_Legal'!L35</f>
        <v>6323255.0054576006</v>
      </c>
      <c r="F17" s="21">
        <f>'6108_Legal'!M35</f>
        <v>9308227.5133999996</v>
      </c>
      <c r="G17" s="168">
        <f>'6108_Legal'!N35</f>
        <v>9308227.5133999996</v>
      </c>
      <c r="H17" s="168">
        <f>'6108_Legal'!O35</f>
        <v>8384609.9063031999</v>
      </c>
      <c r="I17" s="168">
        <f>'6108_Legal'!P35</f>
        <v>9434312.7421805412</v>
      </c>
      <c r="J17" s="168">
        <f>'6108_Legal'!Q35</f>
        <v>12487381.815578666</v>
      </c>
    </row>
    <row r="18" spans="2:10" x14ac:dyDescent="0.25">
      <c r="B18" s="20" t="s">
        <v>1738</v>
      </c>
      <c r="E18" s="21">
        <f>'6109_Admin'!L42</f>
        <v>17242414.32228208</v>
      </c>
      <c r="F18" s="21">
        <f>'6109_Admin'!M42</f>
        <v>14934860.2530645</v>
      </c>
      <c r="G18" s="168">
        <f>'6109_Admin'!N42</f>
        <v>14934860.2530645</v>
      </c>
      <c r="H18" s="168">
        <f>'6109_Admin'!O42</f>
        <v>18512795.662929595</v>
      </c>
      <c r="I18" s="168">
        <f>'6109_Admin'!P42</f>
        <v>19297653.872098502</v>
      </c>
      <c r="J18" s="168">
        <f>'6109_Admin'!Q42</f>
        <v>20042294.296342935</v>
      </c>
    </row>
    <row r="19" spans="2:10" x14ac:dyDescent="0.25">
      <c r="B19" s="20" t="s">
        <v>2105</v>
      </c>
      <c r="E19" s="21">
        <f>'6111_Fleet MGT'!L46</f>
        <v>19583119.8797464</v>
      </c>
      <c r="F19" s="21">
        <f>'6111_Fleet MGT'!M46</f>
        <v>17386517.6245424</v>
      </c>
      <c r="G19" s="168">
        <f>'6111_Fleet MGT'!N46</f>
        <v>17386517.6245424</v>
      </c>
      <c r="H19" s="168">
        <f>'6111_Fleet MGT'!O46</f>
        <v>21422641.1780928</v>
      </c>
      <c r="I19" s="168">
        <f>'6111_Fleet MGT'!P46</f>
        <v>21776729.389928885</v>
      </c>
      <c r="J19" s="168">
        <f>'6111_Fleet MGT'!Q46</f>
        <v>22187867.212475684</v>
      </c>
    </row>
    <row r="20" spans="2:10" x14ac:dyDescent="0.25">
      <c r="B20" s="20" t="s">
        <v>498</v>
      </c>
      <c r="E20" s="21">
        <f>'6113_SCM'!L42</f>
        <v>7972793.3730503982</v>
      </c>
      <c r="F20" s="21">
        <f>'6113_SCM'!M42</f>
        <v>6423178.3809599988</v>
      </c>
      <c r="G20" s="168">
        <f>'6113_SCM'!N42</f>
        <v>6423178.3809599988</v>
      </c>
      <c r="H20" s="168">
        <f>'6113_SCM'!O42</f>
        <v>9880824.2157715987</v>
      </c>
      <c r="I20" s="168">
        <f>'6113_SCM'!P42</f>
        <v>10178112.481265549</v>
      </c>
      <c r="J20" s="168">
        <f>'6113_SCM'!Q42</f>
        <v>10534722.542922501</v>
      </c>
    </row>
    <row r="21" spans="2:10" x14ac:dyDescent="0.25">
      <c r="B21" s="20" t="s">
        <v>528</v>
      </c>
      <c r="E21" s="21">
        <f>'6114_Asset Mgt'!L45</f>
        <v>85954156.961099997</v>
      </c>
      <c r="F21" s="21">
        <f>'6114_Asset Mgt'!M45</f>
        <v>77983165.112849593</v>
      </c>
      <c r="G21" s="168">
        <f>'6114_Asset Mgt'!N45</f>
        <v>77983165.112849593</v>
      </c>
      <c r="H21" s="168">
        <f>'6114_Asset Mgt'!O45</f>
        <v>103478072.60444799</v>
      </c>
      <c r="I21" s="168">
        <f>'6114_Asset Mgt'!P45</f>
        <v>104627583.39904371</v>
      </c>
      <c r="J21" s="168">
        <f>'6114_Asset Mgt'!Q45</f>
        <v>105787220.15200068</v>
      </c>
    </row>
    <row r="22" spans="2:10" x14ac:dyDescent="0.25">
      <c r="B22" s="20" t="s">
        <v>559</v>
      </c>
      <c r="E22" s="21">
        <f>'6115_Revenue'!L96</f>
        <v>46633128.902832001</v>
      </c>
      <c r="F22" s="21">
        <f>'6115_Revenue'!M96</f>
        <v>39471422.458352</v>
      </c>
      <c r="G22" s="168">
        <f>'6115_Revenue'!N96</f>
        <v>39471422.458352</v>
      </c>
      <c r="H22" s="168">
        <f>'6115_Revenue'!O96</f>
        <v>43143786.164433599</v>
      </c>
      <c r="I22" s="168">
        <f>'6115_Revenue'!P96</f>
        <v>44897736.755668677</v>
      </c>
      <c r="J22" s="168">
        <f>'6115_Revenue'!Q96</f>
        <v>46679382.409673765</v>
      </c>
    </row>
    <row r="23" spans="2:10" s="23" customFormat="1" x14ac:dyDescent="0.25">
      <c r="B23" s="23" t="s">
        <v>667</v>
      </c>
      <c r="E23" s="22">
        <f>'6117_Expenditure'!L35</f>
        <v>5549544.0397472</v>
      </c>
      <c r="F23" s="22">
        <f>'6117_Expenditure'!M35</f>
        <v>7270226.2896000007</v>
      </c>
      <c r="G23" s="22">
        <f>'6117_Expenditure'!N35</f>
        <v>7270226.2896000007</v>
      </c>
      <c r="H23" s="22">
        <f>'6117_Expenditure'!O35</f>
        <v>7669437.2698911987</v>
      </c>
      <c r="I23" s="22">
        <f>'6117_Expenditure'!P35</f>
        <v>7832496.5097664129</v>
      </c>
      <c r="J23" s="22">
        <f>'6117_Expenditure'!Q35</f>
        <v>8213846.3527059024</v>
      </c>
    </row>
    <row r="24" spans="2:10" s="23" customFormat="1" x14ac:dyDescent="0.25">
      <c r="B24" s="23" t="s">
        <v>2106</v>
      </c>
      <c r="E24" s="22">
        <f>'6119_BTO'!L51</f>
        <v>13057254.615145599</v>
      </c>
      <c r="F24" s="22">
        <f>'6119_BTO'!M51</f>
        <v>12012979.1096</v>
      </c>
      <c r="G24" s="22">
        <f>'6119_BTO'!N51</f>
        <v>12012979.1096</v>
      </c>
      <c r="H24" s="22">
        <f>'6119_BTO'!O51</f>
        <v>13178783.822268</v>
      </c>
      <c r="I24" s="22">
        <f>'6119_BTO'!P51</f>
        <v>13419322.310447792</v>
      </c>
      <c r="J24" s="22">
        <f>'6119_BTO'!Q51</f>
        <v>13730426.814417941</v>
      </c>
    </row>
    <row r="25" spans="2:10" x14ac:dyDescent="0.25">
      <c r="B25" s="20" t="s">
        <v>1741</v>
      </c>
      <c r="E25" s="21">
        <f>'6121_Payroll'!L27</f>
        <v>2266852.0312432004</v>
      </c>
      <c r="F25" s="21">
        <f>'6121_Payroll'!M27</f>
        <v>2240048.4510000004</v>
      </c>
      <c r="G25" s="168">
        <f>'6121_Payroll'!N27</f>
        <v>2240048.4510000004</v>
      </c>
      <c r="H25" s="168">
        <f>'6121_Payroll'!O27</f>
        <v>2319033.8486792003</v>
      </c>
      <c r="I25" s="168">
        <f>'6121_Payroll'!P27</f>
        <v>2421479.7380210846</v>
      </c>
      <c r="J25" s="168">
        <f>'6121_Payroll'!Q27</f>
        <v>2532511.8262320342</v>
      </c>
    </row>
    <row r="26" spans="2:10" x14ac:dyDescent="0.25">
      <c r="B26" s="20" t="s">
        <v>732</v>
      </c>
      <c r="E26" s="21">
        <f>'6151_Strategic Planning'!L26</f>
        <v>1995818.0002688</v>
      </c>
      <c r="F26" s="21">
        <f>'6151_Strategic Planning'!M26</f>
        <v>1410955.2126367996</v>
      </c>
      <c r="G26" s="168">
        <f>'6151_Strategic Planning'!N26</f>
        <v>1410955.2126367996</v>
      </c>
      <c r="H26" s="168">
        <f>'6151_Strategic Planning'!O26</f>
        <v>2075462.7827232003</v>
      </c>
      <c r="I26" s="168">
        <f>'6151_Strategic Planning'!P26</f>
        <v>2165495.1451630206</v>
      </c>
      <c r="J26" s="168">
        <f>'6151_Strategic Planning'!Q26</f>
        <v>2263582.9266953561</v>
      </c>
    </row>
    <row r="27" spans="2:10" x14ac:dyDescent="0.25">
      <c r="B27" s="20" t="s">
        <v>1742</v>
      </c>
      <c r="E27" s="21">
        <f>'6153_LED'!L36</f>
        <v>2633609.2081440007</v>
      </c>
      <c r="F27" s="21">
        <f>'6153_LED'!M36</f>
        <v>2530389.4768367996</v>
      </c>
      <c r="G27" s="168">
        <f>'6153_LED'!N36</f>
        <v>2530389.4768367996</v>
      </c>
      <c r="H27" s="168">
        <f>'6153_LED'!O36</f>
        <v>2483711.1994471992</v>
      </c>
      <c r="I27" s="168">
        <f>'6153_LED'!P36</f>
        <v>2599170.4922228768</v>
      </c>
      <c r="J27" s="168">
        <f>'6153_LED'!Q36</f>
        <v>2717219.6643729052</v>
      </c>
    </row>
    <row r="28" spans="2:10" x14ac:dyDescent="0.25">
      <c r="B28" s="20" t="s">
        <v>2107</v>
      </c>
      <c r="E28" s="22">
        <f>'6155_Town Planning Adm'!L38</f>
        <v>4791250.8141996805</v>
      </c>
      <c r="F28" s="22">
        <f>'6155_Town Planning Adm'!M38</f>
        <v>4395297.5763900792</v>
      </c>
      <c r="G28" s="22">
        <f>'6155_Town Planning Adm'!N38</f>
        <v>4395297.5763900792</v>
      </c>
      <c r="H28" s="22">
        <f>'6155_Town Planning Adm'!O38</f>
        <v>4966403.5943224002</v>
      </c>
      <c r="I28" s="22">
        <f>'6155_Town Planning Adm'!P38</f>
        <v>5367439.3524725847</v>
      </c>
      <c r="J28" s="22">
        <f>'6155_Town Planning Adm'!Q38</f>
        <v>5685967.6233338509</v>
      </c>
    </row>
    <row r="29" spans="2:10" x14ac:dyDescent="0.25">
      <c r="B29" s="20" t="s">
        <v>2108</v>
      </c>
      <c r="E29" s="21">
        <f>'6251_Library Services'!L29</f>
        <v>661014.02518640005</v>
      </c>
      <c r="F29" s="21">
        <f>'6251_Library Services'!M29</f>
        <v>249429.63155839994</v>
      </c>
      <c r="G29" s="168">
        <f>'6251_Library Services'!N29</f>
        <v>249429.63155839994</v>
      </c>
      <c r="H29" s="168">
        <f>'6251_Library Services'!O29</f>
        <v>445925.55187359988</v>
      </c>
      <c r="I29" s="168">
        <f>'6251_Library Services'!P29</f>
        <v>466152.27615603834</v>
      </c>
      <c r="J29" s="168">
        <f>'6251_Library Services'!Q29</f>
        <v>487667.62858306005</v>
      </c>
    </row>
    <row r="30" spans="2:10" x14ac:dyDescent="0.25">
      <c r="B30" s="20" t="s">
        <v>1743</v>
      </c>
      <c r="E30" s="21">
        <f>'6255_Community Facilities'!L27</f>
        <v>4182752.8384174397</v>
      </c>
      <c r="F30" s="21">
        <f>'6255_Community Facilities'!M27</f>
        <v>2703398.2521464513</v>
      </c>
      <c r="G30" s="168">
        <f>'6255_Community Facilities'!N27</f>
        <v>2703398.2521464513</v>
      </c>
      <c r="H30" s="168">
        <f>'6255_Community Facilities'!O27</f>
        <v>3347212.6469721594</v>
      </c>
      <c r="I30" s="168">
        <f>'6255_Community Facilities'!P27</f>
        <v>3494490.0034389351</v>
      </c>
      <c r="J30" s="168">
        <f>'6255_Community Facilities'!Q27</f>
        <v>3651742.0535936872</v>
      </c>
    </row>
    <row r="31" spans="2:10" x14ac:dyDescent="0.25">
      <c r="B31" s="20" t="s">
        <v>2113</v>
      </c>
      <c r="E31" s="22">
        <f>'6267_Cemetery'!L34</f>
        <v>3482562.4788250402</v>
      </c>
      <c r="F31" s="22">
        <f>'6267_Cemetery'!M34</f>
        <v>2797677.2075198204</v>
      </c>
      <c r="G31" s="22">
        <f>'6267_Cemetery'!N34</f>
        <v>2797677.2075198204</v>
      </c>
      <c r="H31" s="22">
        <f>'6267_Cemetery'!O34</f>
        <v>4012837.603844</v>
      </c>
      <c r="I31" s="22">
        <f>'6267_Cemetery'!P34</f>
        <v>3871802.4584131353</v>
      </c>
      <c r="J31" s="22">
        <f>'6267_Cemetery'!Q34</f>
        <v>4041533.5690417266</v>
      </c>
    </row>
    <row r="32" spans="2:10" x14ac:dyDescent="0.25">
      <c r="B32" s="20" t="s">
        <v>2112</v>
      </c>
      <c r="E32" s="21">
        <f>'6273_Community Other'!L26</f>
        <v>725042.87891520001</v>
      </c>
      <c r="F32" s="21">
        <f>'6273_Community Other'!M26</f>
        <v>274324.1152</v>
      </c>
      <c r="G32" s="168">
        <f>'6273_Community Other'!N26</f>
        <v>274324.1152</v>
      </c>
      <c r="H32" s="168">
        <f>'6273_Community Other'!O26</f>
        <v>970994.14731519995</v>
      </c>
      <c r="I32" s="168">
        <f>'6273_Community Other'!P26</f>
        <v>999230.68979706871</v>
      </c>
      <c r="J32" s="168">
        <f>'6273_Community Other'!Q26</f>
        <v>1028643.5708379368</v>
      </c>
    </row>
    <row r="33" spans="2:10" x14ac:dyDescent="0.25">
      <c r="B33" s="20" t="s">
        <v>898</v>
      </c>
      <c r="E33" s="21">
        <f>'6301_Housing'!L32</f>
        <v>1383143.4915388799</v>
      </c>
      <c r="F33" s="21">
        <f>'6301_Housing'!M32</f>
        <v>1400841.6908076799</v>
      </c>
      <c r="G33" s="168">
        <f>'6301_Housing'!N32</f>
        <v>1400841.6908076799</v>
      </c>
      <c r="H33" s="168">
        <f>'6301_Housing'!O32</f>
        <v>1458436.2422104003</v>
      </c>
      <c r="I33" s="168">
        <f>'6301_Housing'!P32</f>
        <v>1523113.4368676578</v>
      </c>
      <c r="J33" s="168">
        <f>'6301_Housing'!Q32</f>
        <v>1591847.5415267025</v>
      </c>
    </row>
    <row r="34" spans="2:10" x14ac:dyDescent="0.25">
      <c r="B34" s="20" t="s">
        <v>919</v>
      </c>
      <c r="E34" s="21">
        <f>'6351_Security Services'!L38</f>
        <v>18077752.305504151</v>
      </c>
      <c r="F34" s="21">
        <f>'6351_Security Services'!M38</f>
        <v>18366104.430925272</v>
      </c>
      <c r="G34" s="168">
        <f>'6351_Security Services'!N38</f>
        <v>18366104.430925272</v>
      </c>
      <c r="H34" s="168">
        <f>'6351_Security Services'!O38</f>
        <v>19283094.426654555</v>
      </c>
      <c r="I34" s="168">
        <f>'6351_Security Services'!P38</f>
        <v>20030714.581427351</v>
      </c>
      <c r="J34" s="168">
        <f>'6351_Security Services'!Q38</f>
        <v>20749487.23759158</v>
      </c>
    </row>
    <row r="35" spans="2:10" x14ac:dyDescent="0.25">
      <c r="B35" s="20" t="s">
        <v>2111</v>
      </c>
      <c r="E35" s="21">
        <f>'6353_Disaster Mgt'!O30</f>
        <v>1760496.78780016</v>
      </c>
      <c r="F35" s="21">
        <f>'6353_Disaster Mgt'!P30</f>
        <v>1024443.0853337601</v>
      </c>
      <c r="G35" s="168">
        <f>'6353_Disaster Mgt'!Q30</f>
        <v>1024443.0853337601</v>
      </c>
      <c r="H35" s="168">
        <f>'6353_Disaster Mgt'!R30</f>
        <v>1820107.7556055998</v>
      </c>
      <c r="I35" s="168">
        <f>'6353_Disaster Mgt'!S30</f>
        <v>1900563.6968522463</v>
      </c>
      <c r="J35" s="168">
        <f>'6353_Disaster Mgt'!T30</f>
        <v>1986428.0632105977</v>
      </c>
    </row>
    <row r="36" spans="2:10" x14ac:dyDescent="0.25">
      <c r="B36" s="20" t="s">
        <v>2110</v>
      </c>
      <c r="E36" s="21">
        <f>'6401Roads Operations(Sports)'!L33</f>
        <v>7162040.6122744</v>
      </c>
      <c r="F36" s="21">
        <f>'6401Roads Operations(Sports)'!M33</f>
        <v>8173594.3535888391</v>
      </c>
      <c r="G36" s="168">
        <f>'6401Roads Operations(Sports)'!N33</f>
        <v>8173594.3535888391</v>
      </c>
      <c r="H36" s="168">
        <f>'6401Roads Operations(Sports)'!O33</f>
        <v>7057233.9063972784</v>
      </c>
      <c r="I36" s="168">
        <f>'6401Roads Operations(Sports)'!P33</f>
        <v>7372084.1982787605</v>
      </c>
      <c r="J36" s="168">
        <f>'6401Roads Operations(Sports)'!Q33</f>
        <v>7707824.9872013032</v>
      </c>
    </row>
    <row r="37" spans="2:10" x14ac:dyDescent="0.25">
      <c r="B37" s="20" t="s">
        <v>302</v>
      </c>
      <c r="E37" s="22">
        <f>'6501_Solid Waste'!L48</f>
        <v>14570875.575146075</v>
      </c>
      <c r="F37" s="22">
        <f>'6501_Solid Waste'!M48</f>
        <v>11427793.804426355</v>
      </c>
      <c r="G37" s="22">
        <f>'6501_Solid Waste'!N48</f>
        <v>11427793.804426355</v>
      </c>
      <c r="H37" s="22">
        <f>'6501_Solid Waste'!O48</f>
        <v>14800514.281295201</v>
      </c>
      <c r="I37" s="22">
        <f>'6501_Solid Waste'!P48</f>
        <v>15559252.90967219</v>
      </c>
      <c r="J37" s="22">
        <f>'6501_Solid Waste'!Q48</f>
        <v>16284995.290607434</v>
      </c>
    </row>
    <row r="38" spans="2:10" x14ac:dyDescent="0.25">
      <c r="B38" s="20" t="s">
        <v>994</v>
      </c>
      <c r="E38" s="22">
        <f>'6601_Roads'!L38</f>
        <v>42574321.119147837</v>
      </c>
      <c r="F38" s="22">
        <f>'6601_Roads'!M38</f>
        <v>46137844.027020365</v>
      </c>
      <c r="G38" s="22">
        <f>'6601_Roads'!N38</f>
        <v>46137844.027020365</v>
      </c>
      <c r="H38" s="22">
        <f>'6601_Roads'!O38</f>
        <v>47810933.809037521</v>
      </c>
      <c r="I38" s="22">
        <f>'6601_Roads'!P38</f>
        <v>51356694.896635175</v>
      </c>
      <c r="J38" s="22">
        <f>'6601_Roads'!Q38</f>
        <v>54232646.166983753</v>
      </c>
    </row>
    <row r="39" spans="2:10" x14ac:dyDescent="0.25">
      <c r="B39" s="20" t="s">
        <v>1022</v>
      </c>
      <c r="E39" s="22">
        <f>'6603Public Transport'!L17</f>
        <v>1696935.6859032004</v>
      </c>
      <c r="F39" s="22">
        <f>'6603Public Transport'!M17</f>
        <v>969818.96727200015</v>
      </c>
      <c r="G39" s="22">
        <f>'6603Public Transport'!N17</f>
        <v>969818.96727200015</v>
      </c>
      <c r="H39" s="22">
        <f>'6603Public Transport'!O17</f>
        <v>1736491.3538127998</v>
      </c>
      <c r="I39" s="22">
        <f>'6603Public Transport'!P17</f>
        <v>1812896.9733805631</v>
      </c>
      <c r="J39" s="22">
        <f>'6603Public Transport'!Q17</f>
        <v>1894477.3371826885</v>
      </c>
    </row>
    <row r="40" spans="2:10" x14ac:dyDescent="0.25">
      <c r="B40" s="20" t="s">
        <v>2109</v>
      </c>
      <c r="E40" s="21">
        <f>'6607_Vehicle &amp; Licensing'!L47</f>
        <v>21292261.150390718</v>
      </c>
      <c r="F40" s="21">
        <f>'6607_Vehicle &amp; Licensing'!M47</f>
        <v>20569237.182958335</v>
      </c>
      <c r="G40" s="168">
        <f>'6607_Vehicle &amp; Licensing'!N47</f>
        <v>20569237.182958335</v>
      </c>
      <c r="H40" s="168">
        <f>'6607_Vehicle &amp; Licensing'!O47</f>
        <v>22241622.625244167</v>
      </c>
      <c r="I40" s="168">
        <f>'6607_Vehicle &amp; Licensing'!P47</f>
        <v>22603193.620754909</v>
      </c>
      <c r="J40" s="168">
        <f>'6607_Vehicle &amp; Licensing'!Q47</f>
        <v>23719608.833688874</v>
      </c>
    </row>
    <row r="41" spans="2:10" x14ac:dyDescent="0.25">
      <c r="B41" s="20" t="s">
        <v>1748</v>
      </c>
      <c r="E41" s="21">
        <f>'6707_Electricity Operations'!L36</f>
        <v>10284875.34798496</v>
      </c>
      <c r="F41" s="21">
        <f>'6707_Electricity Operations'!M36</f>
        <v>11597764.961445427</v>
      </c>
      <c r="G41" s="168">
        <f>'6707_Electricity Operations'!N36</f>
        <v>11597764.961445427</v>
      </c>
      <c r="H41" s="168">
        <f>'6707_Electricity Operations'!O36</f>
        <v>15047169.815499999</v>
      </c>
      <c r="I41" s="168">
        <f>'6707_Electricity Operations'!P36</f>
        <v>15731069.287381999</v>
      </c>
      <c r="J41" s="168">
        <f>'6707_Electricity Operations'!Q36</f>
        <v>18826247.905314188</v>
      </c>
    </row>
    <row r="42" spans="2:10" s="19" customFormat="1" x14ac:dyDescent="0.25">
      <c r="E42" s="24">
        <f t="shared" ref="E42:J42" si="0">+SUM(E6:E41)</f>
        <v>615679148.45448053</v>
      </c>
      <c r="F42" s="24">
        <f t="shared" si="0"/>
        <v>616950459.23083818</v>
      </c>
      <c r="G42" s="24">
        <f t="shared" si="0"/>
        <v>616950459.23083818</v>
      </c>
      <c r="H42" s="24">
        <f t="shared" si="0"/>
        <v>696783221.73383367</v>
      </c>
      <c r="I42" s="24">
        <f t="shared" si="0"/>
        <v>713696216.8365227</v>
      </c>
      <c r="J42" s="24">
        <f t="shared" si="0"/>
        <v>719390544.49446595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S26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35" bestFit="1" customWidth="1"/>
    <col min="2" max="3" width="0" style="35" hidden="1" customWidth="1"/>
    <col min="4" max="4" width="28" style="35" bestFit="1" customWidth="1"/>
    <col min="5" max="5" width="24" style="35" hidden="1" customWidth="1"/>
    <col min="6" max="11" width="9.125" style="35" hidden="1" customWidth="1"/>
    <col min="12" max="12" width="11.125" style="35" bestFit="1" customWidth="1"/>
    <col min="13" max="13" width="11.25" style="35" customWidth="1"/>
    <col min="14" max="17" width="11.25" style="171" customWidth="1"/>
    <col min="18" max="18" width="9.125" style="35"/>
    <col min="19" max="19" width="11.1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1745</v>
      </c>
      <c r="B3" s="72"/>
      <c r="C3" s="72"/>
      <c r="D3" s="72"/>
    </row>
    <row r="4" spans="1:19" ht="85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876</v>
      </c>
      <c r="B5" s="31" t="s">
        <v>11</v>
      </c>
      <c r="C5" s="31" t="s">
        <v>12</v>
      </c>
      <c r="D5" s="31" t="s">
        <v>157</v>
      </c>
      <c r="E5" s="31" t="s">
        <v>721</v>
      </c>
      <c r="F5" s="31" t="s">
        <v>15</v>
      </c>
      <c r="G5" s="31" t="s">
        <v>16</v>
      </c>
      <c r="H5" s="31" t="s">
        <v>722</v>
      </c>
      <c r="I5" s="32" t="s">
        <v>18</v>
      </c>
      <c r="J5" s="32">
        <v>3</v>
      </c>
      <c r="K5" s="32"/>
      <c r="L5" s="34">
        <v>382442.07023999997</v>
      </c>
      <c r="M5" s="34">
        <v>30381.48</v>
      </c>
      <c r="N5" s="34">
        <v>30381.48</v>
      </c>
      <c r="O5" s="34">
        <f>S5</f>
        <v>382442.07023999997</v>
      </c>
      <c r="P5" s="34">
        <f>O5*1.044</f>
        <v>399269.52133055998</v>
      </c>
      <c r="Q5" s="34">
        <f>P5*1.045</f>
        <v>417236.64979043516</v>
      </c>
      <c r="S5" s="145">
        <f>'[1]6273COMM'!$E$4</f>
        <v>382442.07023999997</v>
      </c>
    </row>
    <row r="6" spans="1:19" s="107" customFormat="1" hidden="1" x14ac:dyDescent="0.25">
      <c r="A6" s="52" t="s">
        <v>878</v>
      </c>
      <c r="B6" s="52" t="s">
        <v>11</v>
      </c>
      <c r="C6" s="52" t="s">
        <v>12</v>
      </c>
      <c r="D6" s="52" t="s">
        <v>1630</v>
      </c>
      <c r="E6" s="52" t="s">
        <v>721</v>
      </c>
      <c r="F6" s="52" t="s">
        <v>15</v>
      </c>
      <c r="G6" s="52" t="s">
        <v>16</v>
      </c>
      <c r="H6" s="52" t="s">
        <v>722</v>
      </c>
      <c r="I6" s="104" t="s">
        <v>18</v>
      </c>
      <c r="J6" s="104">
        <v>3</v>
      </c>
      <c r="K6" s="104"/>
      <c r="L6" s="114">
        <v>0</v>
      </c>
      <c r="M6" s="34">
        <v>0</v>
      </c>
      <c r="N6" s="34">
        <v>0</v>
      </c>
      <c r="O6" s="34">
        <f t="shared" ref="O6:O15" si="0">S6</f>
        <v>0</v>
      </c>
      <c r="P6" s="34">
        <f t="shared" ref="P6:P15" si="1">O6*1.044</f>
        <v>0</v>
      </c>
      <c r="Q6" s="34">
        <f t="shared" ref="Q6:Q15" si="2">P6*1.045</f>
        <v>0</v>
      </c>
      <c r="S6" s="145"/>
    </row>
    <row r="7" spans="1:19" x14ac:dyDescent="0.25">
      <c r="A7" s="31" t="s">
        <v>877</v>
      </c>
      <c r="B7" s="31" t="s">
        <v>11</v>
      </c>
      <c r="C7" s="31" t="s">
        <v>12</v>
      </c>
      <c r="D7" s="31" t="s">
        <v>153</v>
      </c>
      <c r="E7" s="31" t="s">
        <v>721</v>
      </c>
      <c r="F7" s="31" t="s">
        <v>15</v>
      </c>
      <c r="G7" s="31" t="s">
        <v>16</v>
      </c>
      <c r="H7" s="31" t="s">
        <v>722</v>
      </c>
      <c r="I7" s="32" t="s">
        <v>18</v>
      </c>
      <c r="J7" s="32">
        <v>3</v>
      </c>
      <c r="K7" s="32"/>
      <c r="L7" s="34">
        <v>31870.172519999996</v>
      </c>
      <c r="M7" s="34">
        <v>30381.48</v>
      </c>
      <c r="N7" s="34">
        <v>30381.48</v>
      </c>
      <c r="O7" s="34">
        <f t="shared" si="0"/>
        <v>31870.172519999996</v>
      </c>
      <c r="P7" s="34">
        <f t="shared" si="1"/>
        <v>33272.460110879998</v>
      </c>
      <c r="Q7" s="34">
        <f t="shared" si="2"/>
        <v>34769.720815869594</v>
      </c>
      <c r="S7" s="145">
        <f>'[1]6273COMM'!$I$4</f>
        <v>31870.172519999996</v>
      </c>
    </row>
    <row r="8" spans="1:19" x14ac:dyDescent="0.25">
      <c r="A8" s="31" t="s">
        <v>880</v>
      </c>
      <c r="B8" s="31" t="s">
        <v>11</v>
      </c>
      <c r="C8" s="31" t="s">
        <v>12</v>
      </c>
      <c r="D8" s="31" t="s">
        <v>41</v>
      </c>
      <c r="E8" s="31" t="s">
        <v>721</v>
      </c>
      <c r="F8" s="31" t="s">
        <v>15</v>
      </c>
      <c r="G8" s="31" t="s">
        <v>16</v>
      </c>
      <c r="H8" s="31" t="s">
        <v>722</v>
      </c>
      <c r="I8" s="32" t="s">
        <v>18</v>
      </c>
      <c r="J8" s="32">
        <v>3</v>
      </c>
      <c r="K8" s="32"/>
      <c r="L8" s="34">
        <v>84137.255452799989</v>
      </c>
      <c r="M8" s="34">
        <v>6683.9255999999996</v>
      </c>
      <c r="N8" s="34">
        <v>6683.9255999999996</v>
      </c>
      <c r="O8" s="34">
        <f t="shared" si="0"/>
        <v>84137.255452799989</v>
      </c>
      <c r="P8" s="34">
        <f t="shared" si="1"/>
        <v>87839.294692723197</v>
      </c>
      <c r="Q8" s="34">
        <f t="shared" si="2"/>
        <v>91792.062953895729</v>
      </c>
      <c r="S8" s="145">
        <f>'[1]6273COMM'!$K$4</f>
        <v>84137.255452799989</v>
      </c>
    </row>
    <row r="9" spans="1:19" hidden="1" x14ac:dyDescent="0.25">
      <c r="A9" s="31" t="s">
        <v>1811</v>
      </c>
      <c r="B9" s="31"/>
      <c r="C9" s="31"/>
      <c r="D9" s="31" t="s">
        <v>36</v>
      </c>
      <c r="E9" s="31"/>
      <c r="F9" s="31"/>
      <c r="G9" s="31"/>
      <c r="H9" s="31"/>
      <c r="I9" s="32"/>
      <c r="J9" s="32"/>
      <c r="K9" s="32"/>
      <c r="L9" s="34">
        <v>0</v>
      </c>
      <c r="M9" s="34">
        <v>0</v>
      </c>
      <c r="N9" s="34">
        <v>0</v>
      </c>
      <c r="O9" s="34">
        <f t="shared" si="0"/>
        <v>0</v>
      </c>
      <c r="P9" s="34">
        <f t="shared" si="1"/>
        <v>0</v>
      </c>
      <c r="Q9" s="34">
        <f t="shared" si="2"/>
        <v>0</v>
      </c>
      <c r="S9" s="145"/>
    </row>
    <row r="10" spans="1:19" x14ac:dyDescent="0.25">
      <c r="A10" s="31" t="s">
        <v>896</v>
      </c>
      <c r="B10" s="31" t="s">
        <v>11</v>
      </c>
      <c r="C10" s="31" t="s">
        <v>12</v>
      </c>
      <c r="D10" s="31" t="s">
        <v>45</v>
      </c>
      <c r="E10" s="31" t="s">
        <v>721</v>
      </c>
      <c r="F10" s="31" t="s">
        <v>37</v>
      </c>
      <c r="G10" s="31" t="s">
        <v>16</v>
      </c>
      <c r="H10" s="31" t="s">
        <v>722</v>
      </c>
      <c r="I10" s="32" t="s">
        <v>38</v>
      </c>
      <c r="J10" s="32">
        <v>3</v>
      </c>
      <c r="K10" s="32"/>
      <c r="L10" s="34">
        <v>7552.7999999999993</v>
      </c>
      <c r="M10" s="34">
        <v>659.3</v>
      </c>
      <c r="N10" s="34">
        <v>659.3</v>
      </c>
      <c r="O10" s="34">
        <f t="shared" si="0"/>
        <v>8299.268399999999</v>
      </c>
      <c r="P10" s="34">
        <f t="shared" si="1"/>
        <v>8664.4362095999986</v>
      </c>
      <c r="Q10" s="34">
        <f t="shared" si="2"/>
        <v>9054.3358390319972</v>
      </c>
      <c r="S10" s="145">
        <f>'[1]6273COMM'!$N$4</f>
        <v>8299.268399999999</v>
      </c>
    </row>
    <row r="11" spans="1:19" x14ac:dyDescent="0.25">
      <c r="A11" s="31" t="s">
        <v>882</v>
      </c>
      <c r="B11" s="31" t="s">
        <v>11</v>
      </c>
      <c r="C11" s="31" t="s">
        <v>12</v>
      </c>
      <c r="D11" s="31" t="s">
        <v>151</v>
      </c>
      <c r="E11" s="31" t="s">
        <v>721</v>
      </c>
      <c r="F11" s="31" t="s">
        <v>15</v>
      </c>
      <c r="G11" s="31" t="s">
        <v>16</v>
      </c>
      <c r="H11" s="31" t="s">
        <v>722</v>
      </c>
      <c r="I11" s="32" t="s">
        <v>18</v>
      </c>
      <c r="J11" s="32">
        <v>3</v>
      </c>
      <c r="K11" s="32"/>
      <c r="L11" s="34">
        <v>118.80000000000001</v>
      </c>
      <c r="M11" s="34">
        <v>10.3</v>
      </c>
      <c r="N11" s="34">
        <v>10.3</v>
      </c>
      <c r="O11" s="34">
        <f t="shared" si="0"/>
        <v>123.60000000000001</v>
      </c>
      <c r="P11" s="34">
        <f t="shared" si="1"/>
        <v>129.03840000000002</v>
      </c>
      <c r="Q11" s="34">
        <f t="shared" si="2"/>
        <v>134.84512800000002</v>
      </c>
      <c r="S11" s="145">
        <f>'[1]6273COMM'!$R$4</f>
        <v>123.60000000000001</v>
      </c>
    </row>
    <row r="12" spans="1:19" hidden="1" x14ac:dyDescent="0.25">
      <c r="A12" s="31" t="s">
        <v>881</v>
      </c>
      <c r="B12" s="31" t="s">
        <v>11</v>
      </c>
      <c r="C12" s="31" t="s">
        <v>12</v>
      </c>
      <c r="D12" s="31" t="s">
        <v>36</v>
      </c>
      <c r="E12" s="31" t="s">
        <v>721</v>
      </c>
      <c r="F12" s="31" t="s">
        <v>37</v>
      </c>
      <c r="G12" s="31" t="s">
        <v>16</v>
      </c>
      <c r="H12" s="31" t="s">
        <v>722</v>
      </c>
      <c r="I12" s="32" t="s">
        <v>38</v>
      </c>
      <c r="J12" s="32">
        <v>1</v>
      </c>
      <c r="K12" s="32"/>
      <c r="L12" s="34">
        <v>0</v>
      </c>
      <c r="M12" s="34">
        <v>0</v>
      </c>
      <c r="N12" s="34">
        <v>0</v>
      </c>
      <c r="O12" s="34">
        <f t="shared" si="0"/>
        <v>0</v>
      </c>
      <c r="P12" s="34">
        <f t="shared" si="1"/>
        <v>0</v>
      </c>
      <c r="Q12" s="34">
        <f t="shared" si="2"/>
        <v>0</v>
      </c>
      <c r="S12" s="145"/>
    </row>
    <row r="13" spans="1:19" x14ac:dyDescent="0.25">
      <c r="A13" s="31" t="s">
        <v>879</v>
      </c>
      <c r="B13" s="31" t="s">
        <v>11</v>
      </c>
      <c r="C13" s="31" t="s">
        <v>12</v>
      </c>
      <c r="D13" s="31" t="s">
        <v>43</v>
      </c>
      <c r="E13" s="31" t="s">
        <v>721</v>
      </c>
      <c r="F13" s="31" t="s">
        <v>15</v>
      </c>
      <c r="G13" s="31" t="s">
        <v>16</v>
      </c>
      <c r="H13" s="31" t="s">
        <v>722</v>
      </c>
      <c r="I13" s="32" t="s">
        <v>18</v>
      </c>
      <c r="J13" s="32">
        <v>3</v>
      </c>
      <c r="K13" s="32"/>
      <c r="L13" s="34">
        <v>1497.36</v>
      </c>
      <c r="M13" s="34">
        <v>303.81479999999999</v>
      </c>
      <c r="N13" s="34">
        <v>303.81479999999999</v>
      </c>
      <c r="O13" s="34">
        <f t="shared" si="0"/>
        <v>1497.36</v>
      </c>
      <c r="P13" s="34">
        <f t="shared" si="1"/>
        <v>1563.2438399999999</v>
      </c>
      <c r="Q13" s="34">
        <f t="shared" si="2"/>
        <v>1633.5898127999997</v>
      </c>
      <c r="S13" s="145">
        <f>'[1]6273COMM'!$T$4</f>
        <v>1497.36</v>
      </c>
    </row>
    <row r="14" spans="1:19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32"/>
      <c r="K14" s="32"/>
      <c r="O14" s="34"/>
      <c r="P14" s="34"/>
      <c r="Q14" s="34"/>
      <c r="S14" s="145"/>
    </row>
    <row r="15" spans="1:19" x14ac:dyDescent="0.25">
      <c r="A15" s="31" t="s">
        <v>884</v>
      </c>
      <c r="B15" s="31" t="s">
        <v>11</v>
      </c>
      <c r="C15" s="31" t="s">
        <v>12</v>
      </c>
      <c r="D15" s="31" t="s">
        <v>30</v>
      </c>
      <c r="E15" s="31" t="s">
        <v>721</v>
      </c>
      <c r="F15" s="31" t="s">
        <v>15</v>
      </c>
      <c r="G15" s="31" t="s">
        <v>16</v>
      </c>
      <c r="H15" s="31" t="s">
        <v>722</v>
      </c>
      <c r="I15" s="32" t="s">
        <v>18</v>
      </c>
      <c r="J15" s="32">
        <v>3</v>
      </c>
      <c r="K15" s="32"/>
      <c r="L15" s="34">
        <v>3824.4207023999998</v>
      </c>
      <c r="M15" s="34">
        <v>303.81479999999999</v>
      </c>
      <c r="N15" s="34">
        <v>303.81479999999999</v>
      </c>
      <c r="O15" s="34">
        <f t="shared" si="0"/>
        <v>3824.4207023999998</v>
      </c>
      <c r="P15" s="34">
        <f t="shared" si="1"/>
        <v>3992.6952133055997</v>
      </c>
      <c r="Q15" s="34">
        <f t="shared" si="2"/>
        <v>4172.3664979043515</v>
      </c>
      <c r="S15" s="145">
        <f>'[1]6273COMM'!$Q$4</f>
        <v>3824.4207023999998</v>
      </c>
    </row>
    <row r="16" spans="1:19" x14ac:dyDescent="0.25">
      <c r="A16" s="31" t="s">
        <v>889</v>
      </c>
      <c r="B16" s="31" t="s">
        <v>11</v>
      </c>
      <c r="C16" s="31" t="s">
        <v>12</v>
      </c>
      <c r="D16" s="31" t="s">
        <v>20</v>
      </c>
      <c r="E16" s="31" t="s">
        <v>721</v>
      </c>
      <c r="F16" s="31" t="s">
        <v>15</v>
      </c>
      <c r="G16" s="31" t="s">
        <v>16</v>
      </c>
      <c r="H16" s="31" t="s">
        <v>722</v>
      </c>
      <c r="I16" s="32" t="s">
        <v>18</v>
      </c>
      <c r="J16" s="32">
        <v>3</v>
      </c>
      <c r="K16" s="32"/>
      <c r="L16" s="124">
        <v>4000</v>
      </c>
      <c r="M16" s="124">
        <v>1000</v>
      </c>
      <c r="N16" s="124">
        <v>1000</v>
      </c>
      <c r="O16" s="124">
        <v>2000</v>
      </c>
      <c r="P16" s="124">
        <v>2200</v>
      </c>
      <c r="Q16" s="124">
        <v>2300</v>
      </c>
    </row>
    <row r="17" spans="1:17" hidden="1" x14ac:dyDescent="0.25">
      <c r="A17" s="31" t="s">
        <v>883</v>
      </c>
      <c r="B17" s="31" t="s">
        <v>11</v>
      </c>
      <c r="C17" s="31" t="s">
        <v>12</v>
      </c>
      <c r="D17" s="31" t="s">
        <v>24</v>
      </c>
      <c r="E17" s="31" t="s">
        <v>721</v>
      </c>
      <c r="F17" s="31" t="s">
        <v>15</v>
      </c>
      <c r="G17" s="31" t="s">
        <v>16</v>
      </c>
      <c r="H17" s="31" t="s">
        <v>722</v>
      </c>
      <c r="I17" s="32" t="s">
        <v>18</v>
      </c>
      <c r="J17" s="32">
        <v>3</v>
      </c>
      <c r="K17" s="32"/>
      <c r="L17" s="124"/>
      <c r="M17" s="124"/>
      <c r="N17" s="124"/>
      <c r="O17" s="124"/>
      <c r="P17" s="124"/>
      <c r="Q17" s="124"/>
    </row>
    <row r="18" spans="1:17" x14ac:dyDescent="0.25">
      <c r="A18" s="31" t="s">
        <v>886</v>
      </c>
      <c r="B18" s="31" t="s">
        <v>11</v>
      </c>
      <c r="C18" s="31" t="s">
        <v>12</v>
      </c>
      <c r="D18" s="31" t="s">
        <v>28</v>
      </c>
      <c r="E18" s="31" t="s">
        <v>721</v>
      </c>
      <c r="F18" s="31" t="s">
        <v>15</v>
      </c>
      <c r="G18" s="31" t="s">
        <v>16</v>
      </c>
      <c r="H18" s="31" t="s">
        <v>722</v>
      </c>
      <c r="I18" s="32" t="s">
        <v>18</v>
      </c>
      <c r="J18" s="32">
        <v>3</v>
      </c>
      <c r="K18" s="32"/>
      <c r="L18" s="124">
        <v>5000</v>
      </c>
      <c r="M18" s="124">
        <v>2000</v>
      </c>
      <c r="N18" s="124">
        <v>2000</v>
      </c>
      <c r="O18" s="124">
        <v>3000</v>
      </c>
      <c r="P18" s="124">
        <v>3200</v>
      </c>
      <c r="Q18" s="124">
        <v>3300</v>
      </c>
    </row>
    <row r="19" spans="1:17" x14ac:dyDescent="0.25">
      <c r="A19" s="31" t="s">
        <v>888</v>
      </c>
      <c r="B19" s="31" t="s">
        <v>11</v>
      </c>
      <c r="C19" s="31" t="s">
        <v>12</v>
      </c>
      <c r="D19" s="31" t="s">
        <v>13</v>
      </c>
      <c r="E19" s="31" t="s">
        <v>721</v>
      </c>
      <c r="F19" s="31" t="s">
        <v>15</v>
      </c>
      <c r="G19" s="31" t="s">
        <v>16</v>
      </c>
      <c r="H19" s="31" t="s">
        <v>722</v>
      </c>
      <c r="I19" s="32" t="s">
        <v>18</v>
      </c>
      <c r="J19" s="32">
        <v>3</v>
      </c>
      <c r="K19" s="32"/>
      <c r="L19" s="124">
        <v>4000</v>
      </c>
      <c r="M19" s="124">
        <v>2000</v>
      </c>
      <c r="N19" s="124">
        <v>2000</v>
      </c>
      <c r="O19" s="124">
        <v>3000</v>
      </c>
      <c r="P19" s="124">
        <v>3200</v>
      </c>
      <c r="Q19" s="124">
        <v>3300</v>
      </c>
    </row>
    <row r="20" spans="1:17" hidden="1" x14ac:dyDescent="0.25">
      <c r="A20" s="31" t="s">
        <v>887</v>
      </c>
      <c r="B20" s="31" t="s">
        <v>11</v>
      </c>
      <c r="C20" s="31" t="s">
        <v>12</v>
      </c>
      <c r="D20" s="31" t="s">
        <v>32</v>
      </c>
      <c r="E20" s="31" t="s">
        <v>721</v>
      </c>
      <c r="F20" s="31" t="s">
        <v>15</v>
      </c>
      <c r="G20" s="31" t="s">
        <v>16</v>
      </c>
      <c r="H20" s="31" t="s">
        <v>722</v>
      </c>
      <c r="I20" s="32" t="s">
        <v>18</v>
      </c>
      <c r="J20" s="32">
        <v>3</v>
      </c>
      <c r="K20" s="32"/>
      <c r="L20" s="124"/>
      <c r="M20" s="124"/>
      <c r="N20" s="124"/>
      <c r="O20" s="124"/>
      <c r="P20" s="124"/>
      <c r="Q20" s="124"/>
    </row>
    <row r="21" spans="1:17" hidden="1" x14ac:dyDescent="0.25">
      <c r="A21" s="31" t="s">
        <v>885</v>
      </c>
      <c r="B21" s="31" t="s">
        <v>11</v>
      </c>
      <c r="C21" s="31" t="s">
        <v>12</v>
      </c>
      <c r="D21" s="31" t="s">
        <v>26</v>
      </c>
      <c r="E21" s="31" t="s">
        <v>721</v>
      </c>
      <c r="F21" s="31" t="s">
        <v>15</v>
      </c>
      <c r="G21" s="31" t="s">
        <v>16</v>
      </c>
      <c r="H21" s="31" t="s">
        <v>722</v>
      </c>
      <c r="I21" s="32" t="s">
        <v>18</v>
      </c>
      <c r="J21" s="32">
        <v>3</v>
      </c>
      <c r="K21" s="32"/>
      <c r="L21" s="124"/>
      <c r="M21" s="124"/>
      <c r="N21" s="124"/>
      <c r="O21" s="124"/>
      <c r="P21" s="124"/>
      <c r="Q21" s="124"/>
    </row>
    <row r="22" spans="1:17" x14ac:dyDescent="0.25">
      <c r="A22" s="31" t="s">
        <v>890</v>
      </c>
      <c r="B22" s="31" t="s">
        <v>11</v>
      </c>
      <c r="C22" s="31" t="s">
        <v>12</v>
      </c>
      <c r="D22" s="31" t="s">
        <v>22</v>
      </c>
      <c r="E22" s="31" t="s">
        <v>721</v>
      </c>
      <c r="F22" s="31" t="s">
        <v>15</v>
      </c>
      <c r="G22" s="31" t="s">
        <v>16</v>
      </c>
      <c r="H22" s="31" t="s">
        <v>722</v>
      </c>
      <c r="I22" s="32" t="s">
        <v>18</v>
      </c>
      <c r="J22" s="32">
        <v>3</v>
      </c>
      <c r="K22" s="32"/>
      <c r="L22" s="124">
        <v>600</v>
      </c>
      <c r="M22" s="124">
        <v>600</v>
      </c>
      <c r="N22" s="124">
        <v>600</v>
      </c>
      <c r="O22" s="124">
        <v>800</v>
      </c>
      <c r="P22" s="124">
        <v>900</v>
      </c>
      <c r="Q22" s="124">
        <v>950</v>
      </c>
    </row>
    <row r="23" spans="1:17" x14ac:dyDescent="0.25">
      <c r="A23" s="31" t="s">
        <v>2180</v>
      </c>
      <c r="B23" s="31" t="s">
        <v>891</v>
      </c>
      <c r="C23" s="31" t="s">
        <v>12</v>
      </c>
      <c r="D23" s="31" t="s">
        <v>1627</v>
      </c>
      <c r="E23" s="31" t="s">
        <v>892</v>
      </c>
      <c r="F23" s="31" t="s">
        <v>292</v>
      </c>
      <c r="G23" s="31" t="s">
        <v>16</v>
      </c>
      <c r="H23" s="31" t="s">
        <v>722</v>
      </c>
      <c r="I23" s="32" t="s">
        <v>18</v>
      </c>
      <c r="J23" s="32">
        <v>3</v>
      </c>
      <c r="K23" s="32"/>
      <c r="L23" s="124">
        <v>200000</v>
      </c>
      <c r="M23" s="124">
        <v>200000</v>
      </c>
      <c r="N23" s="124">
        <v>200000</v>
      </c>
      <c r="O23" s="124">
        <v>450000</v>
      </c>
      <c r="P23" s="124">
        <v>455000</v>
      </c>
      <c r="Q23" s="124">
        <v>460000</v>
      </c>
    </row>
    <row r="24" spans="1:17" hidden="1" x14ac:dyDescent="0.25">
      <c r="A24" s="31" t="s">
        <v>893</v>
      </c>
      <c r="B24" s="31" t="s">
        <v>894</v>
      </c>
      <c r="C24" s="31" t="s">
        <v>12</v>
      </c>
      <c r="D24" s="31" t="s">
        <v>1654</v>
      </c>
      <c r="E24" s="31" t="s">
        <v>892</v>
      </c>
      <c r="F24" s="31" t="s">
        <v>292</v>
      </c>
      <c r="G24" s="31" t="s">
        <v>16</v>
      </c>
      <c r="H24" s="31" t="s">
        <v>722</v>
      </c>
      <c r="I24" s="32" t="s">
        <v>18</v>
      </c>
      <c r="J24" s="32">
        <v>3</v>
      </c>
      <c r="K24" s="32"/>
    </row>
    <row r="26" spans="1:17" ht="15.75" thickBot="1" x14ac:dyDescent="0.3">
      <c r="A26" s="93" t="s">
        <v>1203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1">
        <f t="shared" ref="L26:Q26" si="3">SUM(L5:L25)</f>
        <v>725042.87891520001</v>
      </c>
      <c r="M26" s="91">
        <f t="shared" si="3"/>
        <v>274324.1152</v>
      </c>
      <c r="N26" s="91">
        <f t="shared" si="3"/>
        <v>274324.1152</v>
      </c>
      <c r="O26" s="91">
        <f t="shared" si="3"/>
        <v>970994.14731519995</v>
      </c>
      <c r="P26" s="91">
        <f t="shared" si="3"/>
        <v>999230.68979706871</v>
      </c>
      <c r="Q26" s="91">
        <f t="shared" si="3"/>
        <v>1028643.5708379368</v>
      </c>
    </row>
  </sheetData>
  <sortState xmlns:xlrd2="http://schemas.microsoft.com/office/spreadsheetml/2017/richdata2" ref="A2:Z19">
    <sortCondition ref="D2:D19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S32"/>
  <sheetViews>
    <sheetView zoomScale="110" zoomScaleNormal="110" workbookViewId="0">
      <pane ySplit="4" topLeftCell="A7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32.375" style="35" customWidth="1"/>
    <col min="5" max="11" width="9.125" style="35" hidden="1" customWidth="1"/>
    <col min="12" max="12" width="11.625" style="35" bestFit="1" customWidth="1"/>
    <col min="13" max="13" width="11.125" style="35" bestFit="1" customWidth="1"/>
    <col min="14" max="17" width="11.125" style="171" customWidth="1"/>
    <col min="18" max="18" width="9.125" style="35"/>
    <col min="19" max="19" width="11.1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898</v>
      </c>
      <c r="B3" s="72"/>
      <c r="C3" s="72"/>
      <c r="D3" s="72"/>
    </row>
    <row r="4" spans="1:19" ht="79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915</v>
      </c>
      <c r="B6" s="31" t="s">
        <v>290</v>
      </c>
      <c r="C6" s="31" t="s">
        <v>770</v>
      </c>
      <c r="D6" s="31" t="s">
        <v>1617</v>
      </c>
      <c r="E6" s="31" t="s">
        <v>678</v>
      </c>
      <c r="F6" s="31" t="s">
        <v>292</v>
      </c>
      <c r="G6" s="31" t="s">
        <v>16</v>
      </c>
      <c r="H6" s="31" t="s">
        <v>898</v>
      </c>
      <c r="I6" s="32" t="s">
        <v>18</v>
      </c>
      <c r="J6" s="32">
        <v>3</v>
      </c>
      <c r="K6" s="32"/>
      <c r="L6" s="43">
        <v>684836</v>
      </c>
      <c r="M6" s="105">
        <v>703092</v>
      </c>
      <c r="N6" s="105">
        <v>703092</v>
      </c>
      <c r="O6" s="105">
        <v>750000</v>
      </c>
      <c r="P6" s="105">
        <v>760000</v>
      </c>
      <c r="Q6" s="105">
        <v>770000</v>
      </c>
    </row>
    <row r="7" spans="1:19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19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684836</v>
      </c>
      <c r="M8" s="97">
        <f t="shared" si="0"/>
        <v>703092</v>
      </c>
      <c r="N8" s="97">
        <f t="shared" si="0"/>
        <v>703092</v>
      </c>
      <c r="O8" s="97">
        <f t="shared" si="0"/>
        <v>750000</v>
      </c>
      <c r="P8" s="97">
        <f t="shared" si="0"/>
        <v>760000</v>
      </c>
      <c r="Q8" s="97">
        <f t="shared" si="0"/>
        <v>770000</v>
      </c>
    </row>
    <row r="9" spans="1:19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19" x14ac:dyDescent="0.25">
      <c r="A10" s="31" t="s">
        <v>914</v>
      </c>
      <c r="B10" s="31" t="s">
        <v>11</v>
      </c>
      <c r="C10" s="31" t="s">
        <v>12</v>
      </c>
      <c r="D10" s="31" t="s">
        <v>157</v>
      </c>
      <c r="E10" s="31" t="s">
        <v>678</v>
      </c>
      <c r="F10" s="31" t="s">
        <v>15</v>
      </c>
      <c r="G10" s="31" t="s">
        <v>16</v>
      </c>
      <c r="H10" s="31" t="s">
        <v>898</v>
      </c>
      <c r="I10" s="32" t="s">
        <v>18</v>
      </c>
      <c r="J10" s="32">
        <v>3</v>
      </c>
      <c r="K10" s="32"/>
      <c r="L10" s="34">
        <v>726986.95943999989</v>
      </c>
      <c r="M10" s="34">
        <v>724995.79</v>
      </c>
      <c r="N10" s="34">
        <v>724995.79</v>
      </c>
      <c r="O10" s="34">
        <f>S10</f>
        <v>752431.46148000006</v>
      </c>
      <c r="P10" s="34">
        <f>O10*1.044</f>
        <v>785538.44578512013</v>
      </c>
      <c r="Q10" s="34">
        <f>P10*1.045</f>
        <v>820887.67584545049</v>
      </c>
      <c r="S10" s="145">
        <f>'[1]6301HOUS'!$E$5</f>
        <v>752431.46148000006</v>
      </c>
    </row>
    <row r="11" spans="1:19" x14ac:dyDescent="0.25">
      <c r="A11" s="31" t="s">
        <v>910</v>
      </c>
      <c r="B11" s="31" t="s">
        <v>11</v>
      </c>
      <c r="C11" s="31" t="s">
        <v>12</v>
      </c>
      <c r="D11" s="31" t="s">
        <v>1630</v>
      </c>
      <c r="E11" s="31" t="s">
        <v>678</v>
      </c>
      <c r="F11" s="31" t="s">
        <v>15</v>
      </c>
      <c r="G11" s="31" t="s">
        <v>16</v>
      </c>
      <c r="H11" s="31" t="s">
        <v>898</v>
      </c>
      <c r="I11" s="32" t="s">
        <v>18</v>
      </c>
      <c r="J11" s="32">
        <v>3</v>
      </c>
      <c r="K11" s="32"/>
      <c r="L11" s="34">
        <v>15000</v>
      </c>
      <c r="M11" s="34">
        <v>16000</v>
      </c>
      <c r="N11" s="34">
        <v>16000</v>
      </c>
      <c r="O11" s="34">
        <v>16000</v>
      </c>
      <c r="P11" s="34">
        <f t="shared" ref="P11:P23" si="1">O11*1.044</f>
        <v>16704</v>
      </c>
      <c r="Q11" s="34">
        <f t="shared" ref="Q11:Q23" si="2">P11*1.045</f>
        <v>17455.68</v>
      </c>
      <c r="S11" s="145"/>
    </row>
    <row r="12" spans="1:19" x14ac:dyDescent="0.25">
      <c r="A12" s="31" t="s">
        <v>911</v>
      </c>
      <c r="B12" s="31" t="s">
        <v>11</v>
      </c>
      <c r="C12" s="31" t="s">
        <v>12</v>
      </c>
      <c r="D12" s="31" t="s">
        <v>153</v>
      </c>
      <c r="E12" s="31" t="s">
        <v>678</v>
      </c>
      <c r="F12" s="31" t="s">
        <v>15</v>
      </c>
      <c r="G12" s="31" t="s">
        <v>16</v>
      </c>
      <c r="H12" s="31" t="s">
        <v>898</v>
      </c>
      <c r="I12" s="32" t="s">
        <v>18</v>
      </c>
      <c r="J12" s="32">
        <v>3</v>
      </c>
      <c r="K12" s="32"/>
      <c r="L12" s="34">
        <v>60582.246619999991</v>
      </c>
      <c r="M12" s="34">
        <v>59773.710000000006</v>
      </c>
      <c r="N12" s="34">
        <v>59773.710000000006</v>
      </c>
      <c r="O12" s="34">
        <f t="shared" ref="O12:O23" si="3">S12</f>
        <v>62702.621790000005</v>
      </c>
      <c r="P12" s="34">
        <f t="shared" si="1"/>
        <v>65461.537148760006</v>
      </c>
      <c r="Q12" s="34">
        <f t="shared" si="2"/>
        <v>68407.306320454198</v>
      </c>
      <c r="S12" s="145">
        <f>'[1]6301HOUS'!$I$5</f>
        <v>62702.621790000005</v>
      </c>
    </row>
    <row r="13" spans="1:19" hidden="1" x14ac:dyDescent="0.25">
      <c r="A13" s="50" t="s">
        <v>2085</v>
      </c>
      <c r="B13" s="31"/>
      <c r="C13" s="31"/>
      <c r="D13" s="31" t="s">
        <v>155</v>
      </c>
      <c r="E13" s="31"/>
      <c r="F13" s="31"/>
      <c r="G13" s="31"/>
      <c r="H13" s="31"/>
      <c r="I13" s="32"/>
      <c r="J13" s="32"/>
      <c r="K13" s="32"/>
      <c r="L13" s="34">
        <v>0</v>
      </c>
      <c r="M13" s="34">
        <v>0</v>
      </c>
      <c r="N13" s="34">
        <v>0</v>
      </c>
      <c r="O13" s="34">
        <f t="shared" si="3"/>
        <v>0</v>
      </c>
      <c r="P13" s="34">
        <f t="shared" si="1"/>
        <v>0</v>
      </c>
      <c r="Q13" s="34">
        <f t="shared" si="2"/>
        <v>0</v>
      </c>
      <c r="S13" s="145">
        <f>'[4]6301HOUS'!$J$5</f>
        <v>0</v>
      </c>
    </row>
    <row r="14" spans="1:19" x14ac:dyDescent="0.25">
      <c r="A14" s="31" t="s">
        <v>908</v>
      </c>
      <c r="B14" s="31" t="s">
        <v>11</v>
      </c>
      <c r="C14" s="31" t="s">
        <v>12</v>
      </c>
      <c r="D14" s="31" t="s">
        <v>41</v>
      </c>
      <c r="E14" s="31" t="s">
        <v>678</v>
      </c>
      <c r="F14" s="31" t="s">
        <v>15</v>
      </c>
      <c r="G14" s="31" t="s">
        <v>16</v>
      </c>
      <c r="H14" s="31" t="s">
        <v>898</v>
      </c>
      <c r="I14" s="32" t="s">
        <v>18</v>
      </c>
      <c r="J14" s="32">
        <v>3</v>
      </c>
      <c r="K14" s="32"/>
      <c r="L14" s="34">
        <v>159937.1310768</v>
      </c>
      <c r="M14" s="34">
        <v>156468.5472</v>
      </c>
      <c r="N14" s="34">
        <v>156468.5472</v>
      </c>
      <c r="O14" s="34">
        <f t="shared" si="3"/>
        <v>165534.92152560002</v>
      </c>
      <c r="P14" s="34">
        <f t="shared" si="1"/>
        <v>172818.45807272641</v>
      </c>
      <c r="Q14" s="34">
        <f t="shared" si="2"/>
        <v>180595.28868599908</v>
      </c>
      <c r="S14" s="145">
        <f>'[1]6301HOUS'!$K$5</f>
        <v>165534.92152560002</v>
      </c>
    </row>
    <row r="15" spans="1:19" x14ac:dyDescent="0.25">
      <c r="A15" s="31" t="s">
        <v>907</v>
      </c>
      <c r="B15" s="31" t="s">
        <v>11</v>
      </c>
      <c r="C15" s="31" t="s">
        <v>12</v>
      </c>
      <c r="D15" s="31" t="s">
        <v>36</v>
      </c>
      <c r="E15" s="31" t="s">
        <v>678</v>
      </c>
      <c r="F15" s="31" t="s">
        <v>15</v>
      </c>
      <c r="G15" s="31" t="s">
        <v>16</v>
      </c>
      <c r="H15" s="31" t="s">
        <v>898</v>
      </c>
      <c r="I15" s="32" t="s">
        <v>18</v>
      </c>
      <c r="J15" s="32">
        <v>3</v>
      </c>
      <c r="K15" s="32"/>
      <c r="L15" s="34">
        <v>76824</v>
      </c>
      <c r="M15" s="34">
        <v>76824</v>
      </c>
      <c r="N15" s="34">
        <v>76824</v>
      </c>
      <c r="O15" s="34">
        <f t="shared" si="3"/>
        <v>76824</v>
      </c>
      <c r="P15" s="34">
        <f t="shared" si="1"/>
        <v>80204.256000000008</v>
      </c>
      <c r="Q15" s="34">
        <f t="shared" si="2"/>
        <v>83813.447520000002</v>
      </c>
      <c r="S15" s="145">
        <f>'[1]6301HOUS'!$L$5</f>
        <v>76824</v>
      </c>
    </row>
    <row r="16" spans="1:19" x14ac:dyDescent="0.25">
      <c r="A16" s="31" t="s">
        <v>913</v>
      </c>
      <c r="B16" s="31" t="s">
        <v>11</v>
      </c>
      <c r="C16" s="31" t="s">
        <v>12</v>
      </c>
      <c r="D16" s="31" t="s">
        <v>47</v>
      </c>
      <c r="E16" s="31" t="s">
        <v>678</v>
      </c>
      <c r="F16" s="31" t="s">
        <v>15</v>
      </c>
      <c r="G16" s="31" t="s">
        <v>16</v>
      </c>
      <c r="H16" s="31" t="s">
        <v>898</v>
      </c>
      <c r="I16" s="32" t="s">
        <v>18</v>
      </c>
      <c r="J16" s="32">
        <v>3</v>
      </c>
      <c r="K16" s="32"/>
      <c r="L16" s="34">
        <v>176576.16</v>
      </c>
      <c r="M16" s="34">
        <v>181211.25</v>
      </c>
      <c r="N16" s="34">
        <v>181211.25</v>
      </c>
      <c r="O16" s="34">
        <f t="shared" si="3"/>
        <v>191711.33771999998</v>
      </c>
      <c r="P16" s="34">
        <f t="shared" si="1"/>
        <v>200146.63657967999</v>
      </c>
      <c r="Q16" s="34">
        <f t="shared" si="2"/>
        <v>209153.23522576559</v>
      </c>
      <c r="S16" s="145">
        <f>'[1]6301HOUS'!$M$5</f>
        <v>191711.33771999998</v>
      </c>
    </row>
    <row r="17" spans="1:19" x14ac:dyDescent="0.25">
      <c r="A17" s="31" t="s">
        <v>2086</v>
      </c>
      <c r="B17" s="31" t="s">
        <v>11</v>
      </c>
      <c r="C17" s="31" t="s">
        <v>12</v>
      </c>
      <c r="D17" s="31" t="s">
        <v>45</v>
      </c>
      <c r="E17" s="31" t="s">
        <v>678</v>
      </c>
      <c r="F17" s="31" t="s">
        <v>37</v>
      </c>
      <c r="G17" s="31" t="s">
        <v>16</v>
      </c>
      <c r="H17" s="31" t="s">
        <v>898</v>
      </c>
      <c r="I17" s="32" t="s">
        <v>38</v>
      </c>
      <c r="J17" s="32">
        <v>3</v>
      </c>
      <c r="K17" s="32"/>
      <c r="L17" s="34">
        <v>27447</v>
      </c>
      <c r="M17" s="34">
        <v>19498.259999999998</v>
      </c>
      <c r="N17" s="34">
        <v>19498.259999999998</v>
      </c>
      <c r="O17" s="34">
        <f t="shared" si="3"/>
        <v>20624.305079999998</v>
      </c>
      <c r="P17" s="34">
        <f t="shared" si="1"/>
        <v>21531.774503519999</v>
      </c>
      <c r="Q17" s="34">
        <f t="shared" si="2"/>
        <v>22500.704356178398</v>
      </c>
      <c r="S17" s="145">
        <f>'[1]6301HOUS'!$N$5</f>
        <v>20624.305079999998</v>
      </c>
    </row>
    <row r="18" spans="1:19" x14ac:dyDescent="0.25">
      <c r="A18" s="31" t="s">
        <v>906</v>
      </c>
      <c r="B18" s="31" t="s">
        <v>11</v>
      </c>
      <c r="C18" s="31" t="s">
        <v>12</v>
      </c>
      <c r="D18" s="31" t="s">
        <v>151</v>
      </c>
      <c r="E18" s="31" t="s">
        <v>678</v>
      </c>
      <c r="F18" s="31" t="s">
        <v>15</v>
      </c>
      <c r="G18" s="31" t="s">
        <v>16</v>
      </c>
      <c r="H18" s="31" t="s">
        <v>898</v>
      </c>
      <c r="I18" s="32" t="s">
        <v>18</v>
      </c>
      <c r="J18" s="32">
        <v>3</v>
      </c>
      <c r="K18" s="32"/>
      <c r="L18" s="34">
        <v>237.60000000000002</v>
      </c>
      <c r="M18" s="34">
        <v>247.2</v>
      </c>
      <c r="N18" s="34">
        <v>247.2</v>
      </c>
      <c r="O18" s="34">
        <f t="shared" si="3"/>
        <v>247.20000000000002</v>
      </c>
      <c r="P18" s="34">
        <f t="shared" si="1"/>
        <v>258.07680000000005</v>
      </c>
      <c r="Q18" s="34">
        <f t="shared" si="2"/>
        <v>269.69025600000003</v>
      </c>
      <c r="S18" s="145">
        <f>'[1]6301HOUS'!$R$5</f>
        <v>247.20000000000002</v>
      </c>
    </row>
    <row r="19" spans="1:19" hidden="1" x14ac:dyDescent="0.25">
      <c r="A19" s="31" t="s">
        <v>912</v>
      </c>
      <c r="B19" s="31" t="s">
        <v>11</v>
      </c>
      <c r="C19" s="31" t="s">
        <v>12</v>
      </c>
      <c r="D19" s="31" t="s">
        <v>156</v>
      </c>
      <c r="E19" s="31" t="s">
        <v>678</v>
      </c>
      <c r="F19" s="31" t="s">
        <v>37</v>
      </c>
      <c r="G19" s="31" t="s">
        <v>16</v>
      </c>
      <c r="H19" s="31" t="s">
        <v>898</v>
      </c>
      <c r="I19" s="32" t="s">
        <v>38</v>
      </c>
      <c r="J19" s="32">
        <v>1</v>
      </c>
      <c r="K19" s="32"/>
      <c r="L19" s="34">
        <v>0</v>
      </c>
      <c r="M19" s="34">
        <v>0</v>
      </c>
      <c r="N19" s="34">
        <v>0</v>
      </c>
      <c r="O19" s="34">
        <f t="shared" si="3"/>
        <v>0</v>
      </c>
      <c r="P19" s="34">
        <f t="shared" si="1"/>
        <v>0</v>
      </c>
      <c r="Q19" s="34">
        <f t="shared" si="2"/>
        <v>0</v>
      </c>
      <c r="S19" s="145"/>
    </row>
    <row r="20" spans="1:19" x14ac:dyDescent="0.25">
      <c r="A20" s="31" t="s">
        <v>909</v>
      </c>
      <c r="B20" s="31" t="s">
        <v>11</v>
      </c>
      <c r="C20" s="31" t="s">
        <v>12</v>
      </c>
      <c r="D20" s="31" t="s">
        <v>43</v>
      </c>
      <c r="E20" s="31" t="s">
        <v>678</v>
      </c>
      <c r="F20" s="31" t="s">
        <v>15</v>
      </c>
      <c r="G20" s="31" t="s">
        <v>16</v>
      </c>
      <c r="H20" s="31" t="s">
        <v>898</v>
      </c>
      <c r="I20" s="32" t="s">
        <v>18</v>
      </c>
      <c r="J20" s="32">
        <v>3</v>
      </c>
      <c r="K20" s="32"/>
      <c r="L20" s="34">
        <v>2994.72</v>
      </c>
      <c r="M20" s="34">
        <v>4765.5462000000007</v>
      </c>
      <c r="N20" s="34">
        <v>4765.5462000000007</v>
      </c>
      <c r="O20" s="34">
        <f t="shared" si="3"/>
        <v>2994.72</v>
      </c>
      <c r="P20" s="34">
        <f t="shared" si="1"/>
        <v>3126.4876799999997</v>
      </c>
      <c r="Q20" s="34">
        <f t="shared" si="2"/>
        <v>3267.1796255999993</v>
      </c>
      <c r="S20" s="145">
        <f>'[1]6301HOUS'!$T$5</f>
        <v>2994.72</v>
      </c>
    </row>
    <row r="21" spans="1:19" x14ac:dyDescent="0.25">
      <c r="A21" s="31" t="s">
        <v>2124</v>
      </c>
      <c r="B21" s="31"/>
      <c r="C21" s="31"/>
      <c r="D21" s="31" t="s">
        <v>162</v>
      </c>
      <c r="E21" s="31"/>
      <c r="F21" s="31"/>
      <c r="G21" s="31"/>
      <c r="H21" s="31"/>
      <c r="I21" s="32"/>
      <c r="J21" s="32"/>
      <c r="K21" s="32"/>
      <c r="L21" s="34">
        <v>95287.804807679975</v>
      </c>
      <c r="M21" s="34">
        <v>95287.804807679975</v>
      </c>
      <c r="N21" s="34">
        <v>95287.804807679975</v>
      </c>
      <c r="O21" s="34">
        <f t="shared" si="3"/>
        <v>98341.36</v>
      </c>
      <c r="P21" s="34">
        <f t="shared" si="1"/>
        <v>102668.37984000001</v>
      </c>
      <c r="Q21" s="34">
        <f t="shared" si="2"/>
        <v>107288.45693280001</v>
      </c>
      <c r="S21" s="145">
        <f>'[1]6301HOUS'!$F$5</f>
        <v>98341.36</v>
      </c>
    </row>
    <row r="22" spans="1:19" x14ac:dyDescent="0.25">
      <c r="A22" s="31"/>
      <c r="B22" s="31"/>
      <c r="C22" s="31"/>
      <c r="D22" s="31"/>
      <c r="E22" s="31"/>
      <c r="F22" s="31"/>
      <c r="G22" s="31"/>
      <c r="H22" s="31"/>
      <c r="I22" s="32"/>
      <c r="J22" s="32"/>
      <c r="K22" s="32"/>
      <c r="M22" s="34"/>
      <c r="N22" s="34"/>
      <c r="O22" s="34"/>
      <c r="P22" s="34"/>
      <c r="Q22" s="34"/>
      <c r="S22" s="145"/>
    </row>
    <row r="23" spans="1:19" x14ac:dyDescent="0.25">
      <c r="A23" s="31" t="s">
        <v>905</v>
      </c>
      <c r="B23" s="31" t="s">
        <v>11</v>
      </c>
      <c r="C23" s="31" t="s">
        <v>12</v>
      </c>
      <c r="D23" s="31" t="s">
        <v>30</v>
      </c>
      <c r="E23" s="31" t="s">
        <v>678</v>
      </c>
      <c r="F23" s="31" t="s">
        <v>15</v>
      </c>
      <c r="G23" s="31" t="s">
        <v>16</v>
      </c>
      <c r="H23" s="31" t="s">
        <v>898</v>
      </c>
      <c r="I23" s="32" t="s">
        <v>18</v>
      </c>
      <c r="J23" s="32">
        <v>3</v>
      </c>
      <c r="K23" s="32"/>
      <c r="L23" s="34">
        <v>7269.8695943999992</v>
      </c>
      <c r="M23" s="34">
        <v>8269.5825999999997</v>
      </c>
      <c r="N23" s="34">
        <v>8269.5825999999997</v>
      </c>
      <c r="O23" s="34">
        <f t="shared" si="3"/>
        <v>7524.3146148000005</v>
      </c>
      <c r="P23" s="34">
        <f t="shared" si="1"/>
        <v>7855.3844578512008</v>
      </c>
      <c r="Q23" s="34">
        <f t="shared" si="2"/>
        <v>8208.8767584545039</v>
      </c>
      <c r="S23" s="145">
        <f>'[1]6301HOUS'!$Q$5</f>
        <v>7524.3146148000005</v>
      </c>
    </row>
    <row r="24" spans="1:19" x14ac:dyDescent="0.25">
      <c r="A24" s="31" t="s">
        <v>902</v>
      </c>
      <c r="B24" s="31" t="s">
        <v>11</v>
      </c>
      <c r="C24" s="31" t="s">
        <v>12</v>
      </c>
      <c r="D24" s="31" t="s">
        <v>20</v>
      </c>
      <c r="E24" s="31" t="s">
        <v>678</v>
      </c>
      <c r="F24" s="31" t="s">
        <v>15</v>
      </c>
      <c r="G24" s="31" t="s">
        <v>16</v>
      </c>
      <c r="H24" s="31" t="s">
        <v>898</v>
      </c>
      <c r="I24" s="32" t="s">
        <v>18</v>
      </c>
      <c r="J24" s="32">
        <v>3</v>
      </c>
      <c r="K24" s="32"/>
      <c r="L24" s="43">
        <v>2000</v>
      </c>
      <c r="M24" s="43">
        <v>2000</v>
      </c>
      <c r="N24" s="43">
        <v>2000</v>
      </c>
      <c r="O24" s="43">
        <v>2000</v>
      </c>
      <c r="P24" s="43">
        <v>2200</v>
      </c>
      <c r="Q24" s="43">
        <v>2300</v>
      </c>
    </row>
    <row r="25" spans="1:19" x14ac:dyDescent="0.25">
      <c r="A25" s="31" t="s">
        <v>904</v>
      </c>
      <c r="B25" s="31" t="s">
        <v>11</v>
      </c>
      <c r="C25" s="31" t="s">
        <v>12</v>
      </c>
      <c r="D25" s="31" t="s">
        <v>24</v>
      </c>
      <c r="E25" s="31" t="s">
        <v>678</v>
      </c>
      <c r="F25" s="31" t="s">
        <v>15</v>
      </c>
      <c r="G25" s="31" t="s">
        <v>16</v>
      </c>
      <c r="H25" s="31" t="s">
        <v>898</v>
      </c>
      <c r="I25" s="32" t="s">
        <v>18</v>
      </c>
      <c r="J25" s="32">
        <v>3</v>
      </c>
      <c r="K25" s="32"/>
      <c r="L25" s="43">
        <v>1000</v>
      </c>
      <c r="M25" s="43">
        <v>3500</v>
      </c>
      <c r="N25" s="43">
        <v>3500</v>
      </c>
      <c r="O25" s="43">
        <v>3500</v>
      </c>
      <c r="P25" s="43">
        <v>3600</v>
      </c>
      <c r="Q25" s="43">
        <v>3700</v>
      </c>
    </row>
    <row r="26" spans="1:19" x14ac:dyDescent="0.25">
      <c r="A26" s="31" t="s">
        <v>899</v>
      </c>
      <c r="B26" s="31" t="s">
        <v>11</v>
      </c>
      <c r="C26" s="31" t="s">
        <v>12</v>
      </c>
      <c r="D26" s="31" t="s">
        <v>28</v>
      </c>
      <c r="E26" s="31" t="s">
        <v>678</v>
      </c>
      <c r="F26" s="31" t="s">
        <v>15</v>
      </c>
      <c r="G26" s="31" t="s">
        <v>16</v>
      </c>
      <c r="H26" s="31" t="s">
        <v>898</v>
      </c>
      <c r="I26" s="32" t="s">
        <v>18</v>
      </c>
      <c r="J26" s="32">
        <v>3</v>
      </c>
      <c r="K26" s="32"/>
      <c r="L26" s="43">
        <v>10000</v>
      </c>
      <c r="M26" s="43">
        <v>20000</v>
      </c>
      <c r="N26" s="43">
        <v>20000</v>
      </c>
      <c r="O26" s="43">
        <v>25000</v>
      </c>
      <c r="P26" s="43">
        <v>26000</v>
      </c>
      <c r="Q26" s="43">
        <v>27000</v>
      </c>
    </row>
    <row r="27" spans="1:19" x14ac:dyDescent="0.25">
      <c r="A27" s="31" t="s">
        <v>901</v>
      </c>
      <c r="B27" s="31" t="s">
        <v>11</v>
      </c>
      <c r="C27" s="31" t="s">
        <v>12</v>
      </c>
      <c r="D27" s="31" t="s">
        <v>13</v>
      </c>
      <c r="E27" s="31" t="s">
        <v>678</v>
      </c>
      <c r="F27" s="31" t="s">
        <v>15</v>
      </c>
      <c r="G27" s="31" t="s">
        <v>16</v>
      </c>
      <c r="H27" s="31" t="s">
        <v>898</v>
      </c>
      <c r="I27" s="32" t="s">
        <v>18</v>
      </c>
      <c r="J27" s="32">
        <v>3</v>
      </c>
      <c r="K27" s="32"/>
      <c r="L27" s="43">
        <v>15000</v>
      </c>
      <c r="M27" s="43">
        <v>20000</v>
      </c>
      <c r="N27" s="43">
        <v>20000</v>
      </c>
      <c r="O27" s="43">
        <v>21000</v>
      </c>
      <c r="P27" s="43">
        <v>22000</v>
      </c>
      <c r="Q27" s="43">
        <v>23000</v>
      </c>
    </row>
    <row r="28" spans="1:19" hidden="1" x14ac:dyDescent="0.25">
      <c r="A28" s="31" t="s">
        <v>900</v>
      </c>
      <c r="B28" s="31" t="s">
        <v>11</v>
      </c>
      <c r="C28" s="31" t="s">
        <v>12</v>
      </c>
      <c r="D28" s="31" t="s">
        <v>32</v>
      </c>
      <c r="E28" s="31" t="s">
        <v>678</v>
      </c>
      <c r="F28" s="31" t="s">
        <v>15</v>
      </c>
      <c r="G28" s="31" t="s">
        <v>16</v>
      </c>
      <c r="H28" s="31" t="s">
        <v>898</v>
      </c>
      <c r="I28" s="32" t="s">
        <v>18</v>
      </c>
      <c r="J28" s="32">
        <v>3</v>
      </c>
      <c r="K28" s="32"/>
      <c r="L28" s="34">
        <v>0</v>
      </c>
      <c r="M28" s="34"/>
      <c r="N28" s="34"/>
      <c r="O28" s="34"/>
      <c r="P28" s="34"/>
      <c r="Q28" s="34"/>
    </row>
    <row r="29" spans="1:19" hidden="1" x14ac:dyDescent="0.25">
      <c r="A29" s="31" t="s">
        <v>897</v>
      </c>
      <c r="B29" s="31" t="s">
        <v>11</v>
      </c>
      <c r="C29" s="31" t="s">
        <v>12</v>
      </c>
      <c r="D29" s="31" t="s">
        <v>26</v>
      </c>
      <c r="E29" s="31" t="s">
        <v>678</v>
      </c>
      <c r="F29" s="31" t="s">
        <v>15</v>
      </c>
      <c r="G29" s="31" t="s">
        <v>16</v>
      </c>
      <c r="H29" s="31" t="s">
        <v>898</v>
      </c>
      <c r="I29" s="32" t="s">
        <v>18</v>
      </c>
      <c r="J29" s="32">
        <v>3</v>
      </c>
      <c r="K29" s="32"/>
      <c r="L29" s="34">
        <v>0</v>
      </c>
      <c r="M29" s="34"/>
      <c r="N29" s="34"/>
      <c r="O29" s="34"/>
      <c r="P29" s="34"/>
      <c r="Q29" s="34"/>
    </row>
    <row r="30" spans="1:19" x14ac:dyDescent="0.25">
      <c r="A30" s="31" t="s">
        <v>903</v>
      </c>
      <c r="B30" s="31" t="s">
        <v>11</v>
      </c>
      <c r="C30" s="31" t="s">
        <v>12</v>
      </c>
      <c r="D30" s="31" t="s">
        <v>22</v>
      </c>
      <c r="E30" s="31" t="s">
        <v>678</v>
      </c>
      <c r="F30" s="31" t="s">
        <v>15</v>
      </c>
      <c r="G30" s="31" t="s">
        <v>16</v>
      </c>
      <c r="H30" s="31" t="s">
        <v>898</v>
      </c>
      <c r="I30" s="32" t="s">
        <v>18</v>
      </c>
      <c r="J30" s="32">
        <v>3</v>
      </c>
      <c r="K30" s="32"/>
      <c r="L30" s="43">
        <v>6000</v>
      </c>
      <c r="M30" s="43">
        <v>12000</v>
      </c>
      <c r="N30" s="43">
        <v>12000</v>
      </c>
      <c r="O30" s="43">
        <v>12000</v>
      </c>
      <c r="P30" s="43">
        <v>13000</v>
      </c>
      <c r="Q30" s="43">
        <v>14000</v>
      </c>
    </row>
    <row r="32" spans="1:19" ht="15.75" thickBot="1" x14ac:dyDescent="0.3">
      <c r="A32" s="93" t="s">
        <v>1203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1">
        <f>SUM(L10:L31)</f>
        <v>1383143.4915388799</v>
      </c>
      <c r="M32" s="91">
        <f t="shared" ref="M32:Q32" si="4">SUM(M10:M31)</f>
        <v>1400841.6908076799</v>
      </c>
      <c r="N32" s="91">
        <f t="shared" si="4"/>
        <v>1400841.6908076799</v>
      </c>
      <c r="O32" s="91">
        <f t="shared" si="4"/>
        <v>1458436.2422104003</v>
      </c>
      <c r="P32" s="91">
        <f t="shared" si="4"/>
        <v>1523113.4368676578</v>
      </c>
      <c r="Q32" s="91">
        <f t="shared" si="4"/>
        <v>1591847.5415267025</v>
      </c>
    </row>
  </sheetData>
  <sortState xmlns:xlrd2="http://schemas.microsoft.com/office/spreadsheetml/2017/richdata2" ref="A2:Z20">
    <sortCondition ref="D2:D20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S38"/>
  <sheetViews>
    <sheetView zoomScale="110" zoomScaleNormal="110" workbookViewId="0">
      <pane ySplit="4" topLeftCell="A10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5.375" style="35" customWidth="1"/>
    <col min="2" max="2" width="22.125" style="35" hidden="1" customWidth="1"/>
    <col min="3" max="3" width="9.375" style="35" hidden="1" customWidth="1"/>
    <col min="4" max="4" width="49.125" style="35" customWidth="1"/>
    <col min="5" max="11" width="9.125" style="35" hidden="1" customWidth="1"/>
    <col min="12" max="13" width="10.625" style="35" bestFit="1" customWidth="1"/>
    <col min="14" max="17" width="10.6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1746</v>
      </c>
      <c r="B3" s="72"/>
      <c r="C3" s="72"/>
      <c r="D3" s="72"/>
    </row>
    <row r="4" spans="1:19" ht="57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929</v>
      </c>
      <c r="B5" s="31" t="s">
        <v>11</v>
      </c>
      <c r="C5" s="31" t="s">
        <v>12</v>
      </c>
      <c r="D5" s="31" t="s">
        <v>157</v>
      </c>
      <c r="E5" s="31" t="s">
        <v>918</v>
      </c>
      <c r="F5" s="31" t="s">
        <v>15</v>
      </c>
      <c r="G5" s="31" t="s">
        <v>16</v>
      </c>
      <c r="H5" s="31" t="s">
        <v>919</v>
      </c>
      <c r="I5" s="32" t="s">
        <v>18</v>
      </c>
      <c r="J5" s="32">
        <v>3</v>
      </c>
      <c r="K5" s="32"/>
      <c r="L5" s="43">
        <v>8320225.2800399922</v>
      </c>
      <c r="M5" s="43">
        <v>8067743.7300000023</v>
      </c>
      <c r="N5" s="43">
        <v>8067743.7300000023</v>
      </c>
      <c r="O5" s="43">
        <f>S5</f>
        <v>8621954.6048399936</v>
      </c>
      <c r="P5" s="43">
        <f>O5*1.044</f>
        <v>9001320.6074529532</v>
      </c>
      <c r="Q5" s="43">
        <f>P5*1.045</f>
        <v>9406380.0347883347</v>
      </c>
      <c r="S5" s="145">
        <f>'[1]6351SEC'!$E$49</f>
        <v>8621954.6048399936</v>
      </c>
    </row>
    <row r="6" spans="1:19" x14ac:dyDescent="0.25">
      <c r="A6" s="31" t="s">
        <v>1187</v>
      </c>
      <c r="B6" s="31" t="s">
        <v>11</v>
      </c>
      <c r="C6" s="31" t="s">
        <v>12</v>
      </c>
      <c r="D6" s="31" t="s">
        <v>930</v>
      </c>
      <c r="E6" s="31" t="s">
        <v>918</v>
      </c>
      <c r="F6" s="31" t="s">
        <v>15</v>
      </c>
      <c r="G6" s="31" t="s">
        <v>16</v>
      </c>
      <c r="H6" s="31" t="s">
        <v>919</v>
      </c>
      <c r="I6" s="32" t="s">
        <v>18</v>
      </c>
      <c r="J6" s="32">
        <v>3</v>
      </c>
      <c r="K6" s="32"/>
      <c r="L6" s="43">
        <v>333684.71808000031</v>
      </c>
      <c r="M6" s="43">
        <v>321651.95999999996</v>
      </c>
      <c r="N6" s="43">
        <v>321651.95999999996</v>
      </c>
      <c r="O6" s="43">
        <f t="shared" ref="O6:O20" si="0">S6</f>
        <v>337814.39999999991</v>
      </c>
      <c r="P6" s="43">
        <f t="shared" ref="P6:P20" si="1">O6*1.044</f>
        <v>352678.23359999992</v>
      </c>
      <c r="Q6" s="43">
        <f t="shared" ref="Q6:Q20" si="2">P6*1.045</f>
        <v>368548.75411199988</v>
      </c>
      <c r="S6" s="145">
        <f>'[1]6351SEC'!$R$49</f>
        <v>337814.39999999991</v>
      </c>
    </row>
    <row r="7" spans="1:19" x14ac:dyDescent="0.25">
      <c r="A7" s="31" t="s">
        <v>924</v>
      </c>
      <c r="B7" s="31" t="s">
        <v>11</v>
      </c>
      <c r="C7" s="31" t="s">
        <v>12</v>
      </c>
      <c r="D7" s="31" t="s">
        <v>1630</v>
      </c>
      <c r="E7" s="31" t="s">
        <v>918</v>
      </c>
      <c r="F7" s="31" t="s">
        <v>15</v>
      </c>
      <c r="G7" s="31" t="s">
        <v>16</v>
      </c>
      <c r="H7" s="31" t="s">
        <v>919</v>
      </c>
      <c r="I7" s="32" t="s">
        <v>18</v>
      </c>
      <c r="J7" s="32">
        <v>3</v>
      </c>
      <c r="K7" s="32"/>
      <c r="L7" s="105">
        <v>1500000</v>
      </c>
      <c r="M7" s="43">
        <v>1600000</v>
      </c>
      <c r="N7" s="43">
        <v>1600000</v>
      </c>
      <c r="O7" s="43">
        <v>1600000</v>
      </c>
      <c r="P7" s="43">
        <f t="shared" si="1"/>
        <v>1670400</v>
      </c>
      <c r="Q7" s="43">
        <f t="shared" si="2"/>
        <v>1745567.9999999998</v>
      </c>
      <c r="S7" s="145"/>
    </row>
    <row r="8" spans="1:19" x14ac:dyDescent="0.25">
      <c r="A8" s="31" t="s">
        <v>925</v>
      </c>
      <c r="B8" s="31" t="s">
        <v>11</v>
      </c>
      <c r="C8" s="31" t="s">
        <v>12</v>
      </c>
      <c r="D8" s="31" t="s">
        <v>153</v>
      </c>
      <c r="E8" s="31" t="s">
        <v>918</v>
      </c>
      <c r="F8" s="31" t="s">
        <v>15</v>
      </c>
      <c r="G8" s="31" t="s">
        <v>16</v>
      </c>
      <c r="H8" s="31" t="s">
        <v>919</v>
      </c>
      <c r="I8" s="32" t="s">
        <v>18</v>
      </c>
      <c r="J8" s="32">
        <v>3</v>
      </c>
      <c r="K8" s="32"/>
      <c r="L8" s="43">
        <v>693352.10666999989</v>
      </c>
      <c r="M8" s="43">
        <v>677620.80000000016</v>
      </c>
      <c r="N8" s="43">
        <v>677620.80000000016</v>
      </c>
      <c r="O8" s="43">
        <f t="shared" si="0"/>
        <v>718496.21706999966</v>
      </c>
      <c r="P8" s="43">
        <f t="shared" si="1"/>
        <v>750110.05062107963</v>
      </c>
      <c r="Q8" s="43">
        <f t="shared" si="2"/>
        <v>783865.00289902813</v>
      </c>
      <c r="S8" s="145">
        <f>'[1]6351SEC'!$I$49</f>
        <v>718496.21706999966</v>
      </c>
    </row>
    <row r="9" spans="1:19" x14ac:dyDescent="0.25">
      <c r="A9" s="31" t="s">
        <v>926</v>
      </c>
      <c r="B9" s="31" t="s">
        <v>11</v>
      </c>
      <c r="C9" s="31" t="s">
        <v>12</v>
      </c>
      <c r="D9" s="31" t="s">
        <v>155</v>
      </c>
      <c r="E9" s="31" t="s">
        <v>918</v>
      </c>
      <c r="F9" s="31" t="s">
        <v>15</v>
      </c>
      <c r="G9" s="31" t="s">
        <v>16</v>
      </c>
      <c r="H9" s="31" t="s">
        <v>919</v>
      </c>
      <c r="I9" s="32" t="s">
        <v>18</v>
      </c>
      <c r="J9" s="32">
        <v>3</v>
      </c>
      <c r="K9" s="32"/>
      <c r="L9" s="43">
        <v>70163.996553599995</v>
      </c>
      <c r="M9" s="43">
        <v>63137.684875200001</v>
      </c>
      <c r="N9" s="43">
        <v>63137.684875200001</v>
      </c>
      <c r="O9" s="43">
        <f t="shared" si="0"/>
        <v>72761.25</v>
      </c>
      <c r="P9" s="43">
        <f t="shared" si="1"/>
        <v>75962.74500000001</v>
      </c>
      <c r="Q9" s="43">
        <f t="shared" si="2"/>
        <v>79381.06852500001</v>
      </c>
      <c r="S9" s="145">
        <f>'[2]6351SEC'!$J$49</f>
        <v>72761.25</v>
      </c>
    </row>
    <row r="10" spans="1:19" x14ac:dyDescent="0.25">
      <c r="A10" s="31" t="s">
        <v>922</v>
      </c>
      <c r="B10" s="31" t="s">
        <v>11</v>
      </c>
      <c r="C10" s="31" t="s">
        <v>12</v>
      </c>
      <c r="D10" s="31" t="s">
        <v>41</v>
      </c>
      <c r="E10" s="31" t="s">
        <v>918</v>
      </c>
      <c r="F10" s="31" t="s">
        <v>15</v>
      </c>
      <c r="G10" s="31" t="s">
        <v>16</v>
      </c>
      <c r="H10" s="31" t="s">
        <v>919</v>
      </c>
      <c r="I10" s="32" t="s">
        <v>18</v>
      </c>
      <c r="J10" s="32">
        <v>3</v>
      </c>
      <c r="K10" s="32"/>
      <c r="L10" s="43">
        <v>1830449.5616088007</v>
      </c>
      <c r="M10" s="43">
        <v>1671948.0145999994</v>
      </c>
      <c r="N10" s="43">
        <v>1671948.0145999994</v>
      </c>
      <c r="O10" s="43">
        <f t="shared" si="0"/>
        <v>1896830.0130648001</v>
      </c>
      <c r="P10" s="43">
        <f t="shared" si="1"/>
        <v>1980290.5336396513</v>
      </c>
      <c r="Q10" s="43">
        <f t="shared" si="2"/>
        <v>2069403.6076534353</v>
      </c>
      <c r="S10" s="145">
        <f>'[1]6351SEC'!$K$49</f>
        <v>1896830.0130648001</v>
      </c>
    </row>
    <row r="11" spans="1:19" x14ac:dyDescent="0.25">
      <c r="A11" s="31" t="s">
        <v>921</v>
      </c>
      <c r="B11" s="31" t="s">
        <v>11</v>
      </c>
      <c r="C11" s="31" t="s">
        <v>12</v>
      </c>
      <c r="D11" s="31" t="s">
        <v>36</v>
      </c>
      <c r="E11" s="31" t="s">
        <v>918</v>
      </c>
      <c r="F11" s="31" t="s">
        <v>15</v>
      </c>
      <c r="G11" s="31" t="s">
        <v>16</v>
      </c>
      <c r="H11" s="31" t="s">
        <v>919</v>
      </c>
      <c r="I11" s="32" t="s">
        <v>18</v>
      </c>
      <c r="J11" s="32">
        <v>3</v>
      </c>
      <c r="K11" s="32"/>
      <c r="L11" s="43">
        <v>600824.39999999979</v>
      </c>
      <c r="M11" s="43">
        <v>583660.80000000005</v>
      </c>
      <c r="N11" s="43">
        <v>583660.80000000005</v>
      </c>
      <c r="O11" s="43">
        <f t="shared" si="0"/>
        <v>592675.19999999984</v>
      </c>
      <c r="P11" s="43">
        <f t="shared" si="1"/>
        <v>618752.90879999986</v>
      </c>
      <c r="Q11" s="43">
        <f t="shared" si="2"/>
        <v>646596.78969599982</v>
      </c>
      <c r="S11" s="145">
        <f>'[1]6351SEC'!$L$49</f>
        <v>592675.19999999984</v>
      </c>
    </row>
    <row r="12" spans="1:19" x14ac:dyDescent="0.25">
      <c r="A12" s="31" t="s">
        <v>928</v>
      </c>
      <c r="B12" s="31" t="s">
        <v>11</v>
      </c>
      <c r="C12" s="31" t="s">
        <v>12</v>
      </c>
      <c r="D12" s="31" t="s">
        <v>47</v>
      </c>
      <c r="E12" s="31" t="s">
        <v>918</v>
      </c>
      <c r="F12" s="31" t="s">
        <v>15</v>
      </c>
      <c r="G12" s="31" t="s">
        <v>16</v>
      </c>
      <c r="H12" s="31" t="s">
        <v>919</v>
      </c>
      <c r="I12" s="32" t="s">
        <v>18</v>
      </c>
      <c r="J12" s="32">
        <v>3</v>
      </c>
      <c r="K12" s="32"/>
      <c r="L12" s="43">
        <v>176576.16</v>
      </c>
      <c r="M12" s="43">
        <v>181211.25</v>
      </c>
      <c r="N12" s="43">
        <v>181211.25</v>
      </c>
      <c r="O12" s="43">
        <f t="shared" si="0"/>
        <v>191711.33771999998</v>
      </c>
      <c r="P12" s="43">
        <f t="shared" si="1"/>
        <v>200146.63657967999</v>
      </c>
      <c r="Q12" s="43">
        <f t="shared" si="2"/>
        <v>209153.23522576559</v>
      </c>
      <c r="S12" s="145">
        <f>'[1]6351SEC'!$M$49</f>
        <v>191711.33771999998</v>
      </c>
    </row>
    <row r="13" spans="1:19" x14ac:dyDescent="0.25">
      <c r="A13" s="31" t="s">
        <v>943</v>
      </c>
      <c r="B13" s="31" t="s">
        <v>11</v>
      </c>
      <c r="C13" s="31" t="s">
        <v>12</v>
      </c>
      <c r="D13" s="31" t="s">
        <v>45</v>
      </c>
      <c r="E13" s="31" t="s">
        <v>918</v>
      </c>
      <c r="F13" s="31" t="s">
        <v>37</v>
      </c>
      <c r="G13" s="31" t="s">
        <v>16</v>
      </c>
      <c r="H13" s="31" t="s">
        <v>919</v>
      </c>
      <c r="I13" s="32" t="s">
        <v>38</v>
      </c>
      <c r="J13" s="32">
        <v>3</v>
      </c>
      <c r="K13" s="32"/>
      <c r="L13" s="43">
        <v>10863</v>
      </c>
      <c r="M13" s="43">
        <v>11145.869999999999</v>
      </c>
      <c r="N13" s="43">
        <v>11145.869999999999</v>
      </c>
      <c r="O13" s="43">
        <f t="shared" si="0"/>
        <v>11790.927839999998</v>
      </c>
      <c r="P13" s="43">
        <f t="shared" si="1"/>
        <v>12309.728664959999</v>
      </c>
      <c r="Q13" s="43">
        <f t="shared" si="2"/>
        <v>12863.666454883198</v>
      </c>
      <c r="S13" s="145">
        <f>'[1]6351SEC'!$N$49</f>
        <v>11790.927839999998</v>
      </c>
    </row>
    <row r="14" spans="1:19" x14ac:dyDescent="0.25">
      <c r="A14" s="31" t="s">
        <v>927</v>
      </c>
      <c r="B14" s="31" t="s">
        <v>11</v>
      </c>
      <c r="C14" s="31" t="s">
        <v>12</v>
      </c>
      <c r="D14" s="31" t="s">
        <v>156</v>
      </c>
      <c r="E14" s="31" t="s">
        <v>918</v>
      </c>
      <c r="F14" s="31" t="s">
        <v>15</v>
      </c>
      <c r="G14" s="31" t="s">
        <v>16</v>
      </c>
      <c r="H14" s="31" t="s">
        <v>919</v>
      </c>
      <c r="I14" s="32" t="s">
        <v>18</v>
      </c>
      <c r="J14" s="32">
        <v>3</v>
      </c>
      <c r="K14" s="32"/>
      <c r="L14" s="43">
        <v>12141.251879999998</v>
      </c>
      <c r="M14" s="43">
        <v>11574.119999999999</v>
      </c>
      <c r="N14" s="43">
        <v>11574.119999999999</v>
      </c>
      <c r="O14" s="43">
        <f t="shared" si="0"/>
        <v>12141.251879999998</v>
      </c>
      <c r="P14" s="43">
        <f t="shared" si="1"/>
        <v>12675.466962719998</v>
      </c>
      <c r="Q14" s="43">
        <f t="shared" si="2"/>
        <v>13245.862976042397</v>
      </c>
      <c r="S14" s="145">
        <f>'[1]6351SEC'!$Q$49</f>
        <v>12141.251879999998</v>
      </c>
    </row>
    <row r="15" spans="1:19" x14ac:dyDescent="0.25">
      <c r="A15" s="31" t="s">
        <v>920</v>
      </c>
      <c r="B15" s="31" t="s">
        <v>11</v>
      </c>
      <c r="C15" s="31" t="s">
        <v>12</v>
      </c>
      <c r="D15" s="31" t="s">
        <v>151</v>
      </c>
      <c r="E15" s="31" t="s">
        <v>918</v>
      </c>
      <c r="F15" s="31" t="s">
        <v>15</v>
      </c>
      <c r="G15" s="31" t="s">
        <v>16</v>
      </c>
      <c r="H15" s="31" t="s">
        <v>919</v>
      </c>
      <c r="I15" s="32" t="s">
        <v>18</v>
      </c>
      <c r="J15" s="32">
        <v>3</v>
      </c>
      <c r="K15" s="32"/>
      <c r="L15" s="43">
        <v>5346.0000000000045</v>
      </c>
      <c r="M15" s="43">
        <v>5345.7000000000007</v>
      </c>
      <c r="N15" s="43">
        <v>5345.7000000000007</v>
      </c>
      <c r="O15" s="43">
        <f t="shared" si="0"/>
        <v>5562.0000000000018</v>
      </c>
      <c r="P15" s="43">
        <f t="shared" si="1"/>
        <v>5806.7280000000019</v>
      </c>
      <c r="Q15" s="43">
        <f t="shared" si="2"/>
        <v>6068.0307600000015</v>
      </c>
      <c r="S15" s="145">
        <f>'[1]6351SEC'!$T$49</f>
        <v>5562.0000000000018</v>
      </c>
    </row>
    <row r="16" spans="1:19" x14ac:dyDescent="0.25">
      <c r="A16" s="31" t="s">
        <v>923</v>
      </c>
      <c r="B16" s="31" t="s">
        <v>11</v>
      </c>
      <c r="C16" s="31" t="s">
        <v>12</v>
      </c>
      <c r="D16" s="31" t="s">
        <v>43</v>
      </c>
      <c r="E16" s="31" t="s">
        <v>918</v>
      </c>
      <c r="F16" s="31" t="s">
        <v>15</v>
      </c>
      <c r="G16" s="31" t="s">
        <v>16</v>
      </c>
      <c r="H16" s="31" t="s">
        <v>919</v>
      </c>
      <c r="I16" s="32" t="s">
        <v>18</v>
      </c>
      <c r="J16" s="32">
        <v>3</v>
      </c>
      <c r="K16" s="32"/>
      <c r="L16" s="43">
        <v>67381.200000000012</v>
      </c>
      <c r="M16" s="43">
        <v>86021.909278713574</v>
      </c>
      <c r="N16" s="43">
        <v>86021.909278713574</v>
      </c>
      <c r="O16" s="43">
        <f t="shared" si="0"/>
        <v>67381.200000000012</v>
      </c>
      <c r="P16" s="43">
        <f t="shared" si="1"/>
        <v>70345.972800000018</v>
      </c>
      <c r="Q16" s="43">
        <f t="shared" si="2"/>
        <v>73511.541576000018</v>
      </c>
      <c r="S16" s="145">
        <f>'[1]6351SEC'!$V$49</f>
        <v>67381.200000000012</v>
      </c>
    </row>
    <row r="17" spans="1:19" x14ac:dyDescent="0.25">
      <c r="A17" s="31" t="s">
        <v>945</v>
      </c>
      <c r="B17" s="31" t="s">
        <v>11</v>
      </c>
      <c r="C17" s="31" t="s">
        <v>12</v>
      </c>
      <c r="D17" s="31" t="s">
        <v>162</v>
      </c>
      <c r="E17" s="31" t="s">
        <v>918</v>
      </c>
      <c r="F17" s="31" t="s">
        <v>37</v>
      </c>
      <c r="G17" s="31" t="s">
        <v>16</v>
      </c>
      <c r="H17" s="31" t="s">
        <v>919</v>
      </c>
      <c r="I17" s="32" t="s">
        <v>38</v>
      </c>
      <c r="J17" s="32">
        <v>1</v>
      </c>
      <c r="K17" s="32"/>
      <c r="L17" s="43">
        <v>149943.37787135999</v>
      </c>
      <c r="M17" s="43">
        <v>149943.37787135999</v>
      </c>
      <c r="N17" s="43">
        <v>149943.37787135999</v>
      </c>
      <c r="O17" s="43">
        <f t="shared" si="0"/>
        <v>153756.47819136002</v>
      </c>
      <c r="P17" s="43">
        <f t="shared" si="1"/>
        <v>160521.76323177986</v>
      </c>
      <c r="Q17" s="43">
        <f t="shared" si="2"/>
        <v>167745.24257720995</v>
      </c>
      <c r="S17" s="145">
        <f>'[1]6351SEC'!$F$49</f>
        <v>153756.47819136002</v>
      </c>
    </row>
    <row r="18" spans="1:19" x14ac:dyDescent="0.25">
      <c r="A18" s="31" t="s">
        <v>2179</v>
      </c>
      <c r="B18" s="31"/>
      <c r="C18" s="31"/>
      <c r="D18" s="31" t="s">
        <v>2174</v>
      </c>
      <c r="E18" s="31"/>
      <c r="F18" s="31"/>
      <c r="G18" s="31"/>
      <c r="H18" s="31"/>
      <c r="I18" s="131"/>
      <c r="J18" s="131"/>
      <c r="K18" s="131"/>
      <c r="L18" s="43">
        <v>10000</v>
      </c>
      <c r="M18" s="43">
        <v>132500</v>
      </c>
      <c r="N18" s="43">
        <v>132500</v>
      </c>
      <c r="O18" s="43">
        <f t="shared" si="0"/>
        <v>270000</v>
      </c>
      <c r="P18" s="43">
        <f t="shared" si="1"/>
        <v>281880</v>
      </c>
      <c r="Q18" s="43">
        <f t="shared" si="2"/>
        <v>294564.59999999998</v>
      </c>
      <c r="S18" s="145">
        <f>'[1]6351SEC'!$P$49</f>
        <v>270000</v>
      </c>
    </row>
    <row r="19" spans="1:19" x14ac:dyDescent="0.25">
      <c r="A19" s="31"/>
      <c r="B19" s="31"/>
      <c r="C19" s="31"/>
      <c r="D19" s="31"/>
      <c r="E19" s="31"/>
      <c r="F19" s="31"/>
      <c r="G19" s="31"/>
      <c r="H19" s="31"/>
      <c r="I19" s="32"/>
      <c r="J19" s="32"/>
      <c r="K19" s="32"/>
      <c r="M19" s="43"/>
      <c r="N19" s="43"/>
      <c r="O19" s="43"/>
      <c r="P19" s="43"/>
      <c r="Q19" s="43"/>
      <c r="S19" s="145"/>
    </row>
    <row r="20" spans="1:19" x14ac:dyDescent="0.25">
      <c r="A20" s="31" t="s">
        <v>917</v>
      </c>
      <c r="B20" s="31" t="s">
        <v>11</v>
      </c>
      <c r="C20" s="31" t="s">
        <v>12</v>
      </c>
      <c r="D20" s="31" t="s">
        <v>30</v>
      </c>
      <c r="E20" s="31" t="s">
        <v>918</v>
      </c>
      <c r="F20" s="31" t="s">
        <v>15</v>
      </c>
      <c r="G20" s="31" t="s">
        <v>16</v>
      </c>
      <c r="H20" s="31" t="s">
        <v>919</v>
      </c>
      <c r="I20" s="32" t="s">
        <v>18</v>
      </c>
      <c r="J20" s="32">
        <v>3</v>
      </c>
      <c r="K20" s="32"/>
      <c r="L20" s="43">
        <v>83202.252800400034</v>
      </c>
      <c r="M20" s="43">
        <v>95500.214299999992</v>
      </c>
      <c r="N20" s="43">
        <v>95500.214299999992</v>
      </c>
      <c r="O20" s="43">
        <f t="shared" si="0"/>
        <v>86219.546048400036</v>
      </c>
      <c r="P20" s="43">
        <f t="shared" si="1"/>
        <v>90013.206074529648</v>
      </c>
      <c r="Q20" s="43">
        <f t="shared" si="2"/>
        <v>94063.800347883473</v>
      </c>
      <c r="S20" s="145">
        <f>'[1]6351SEC'!$S$49</f>
        <v>86219.546048400036</v>
      </c>
    </row>
    <row r="21" spans="1:19" x14ac:dyDescent="0.25">
      <c r="A21" s="52" t="s">
        <v>941</v>
      </c>
      <c r="B21" s="31" t="s">
        <v>11</v>
      </c>
      <c r="C21" s="31" t="s">
        <v>12</v>
      </c>
      <c r="D21" s="31" t="s">
        <v>918</v>
      </c>
      <c r="E21" s="31" t="s">
        <v>918</v>
      </c>
      <c r="F21" s="31" t="s">
        <v>15</v>
      </c>
      <c r="G21" s="31" t="s">
        <v>16</v>
      </c>
      <c r="H21" s="31" t="s">
        <v>919</v>
      </c>
      <c r="I21" s="32" t="s">
        <v>18</v>
      </c>
      <c r="J21" s="32">
        <v>3</v>
      </c>
      <c r="K21" s="32"/>
      <c r="L21" s="43">
        <v>3100000</v>
      </c>
      <c r="M21" s="43">
        <v>3600000</v>
      </c>
      <c r="N21" s="43">
        <v>3600000</v>
      </c>
      <c r="O21" s="43">
        <v>3500000</v>
      </c>
      <c r="P21" s="43">
        <v>3600000</v>
      </c>
      <c r="Q21" s="43">
        <v>3927528</v>
      </c>
    </row>
    <row r="22" spans="1:19" x14ac:dyDescent="0.25">
      <c r="A22" s="31" t="s">
        <v>944</v>
      </c>
      <c r="B22" s="31"/>
      <c r="C22" s="31"/>
      <c r="D22" s="31" t="s">
        <v>1665</v>
      </c>
      <c r="E22" s="31"/>
      <c r="F22" s="31"/>
      <c r="G22" s="31"/>
      <c r="H22" s="31"/>
      <c r="I22" s="32"/>
      <c r="J22" s="32"/>
      <c r="K22" s="32"/>
      <c r="L22" s="43">
        <v>70000</v>
      </c>
      <c r="M22" s="43">
        <v>70000</v>
      </c>
      <c r="N22" s="43">
        <v>70000</v>
      </c>
      <c r="O22" s="43">
        <v>70000</v>
      </c>
      <c r="P22" s="43">
        <v>70000</v>
      </c>
      <c r="Q22" s="43">
        <v>70000</v>
      </c>
    </row>
    <row r="23" spans="1:19" x14ac:dyDescent="0.25">
      <c r="A23" s="31" t="s">
        <v>935</v>
      </c>
      <c r="B23" s="31" t="s">
        <v>11</v>
      </c>
      <c r="C23" s="31" t="s">
        <v>12</v>
      </c>
      <c r="D23" s="31" t="s">
        <v>20</v>
      </c>
      <c r="E23" s="31" t="s">
        <v>918</v>
      </c>
      <c r="F23" s="31" t="s">
        <v>15</v>
      </c>
      <c r="G23" s="31" t="s">
        <v>16</v>
      </c>
      <c r="H23" s="31" t="s">
        <v>919</v>
      </c>
      <c r="I23" s="32" t="s">
        <v>18</v>
      </c>
      <c r="J23" s="32">
        <v>3</v>
      </c>
      <c r="K23" s="32"/>
      <c r="L23" s="43">
        <v>10000</v>
      </c>
      <c r="M23" s="43">
        <v>10000</v>
      </c>
      <c r="N23" s="43">
        <v>10000</v>
      </c>
      <c r="O23" s="43">
        <v>10000</v>
      </c>
      <c r="P23" s="43">
        <v>10000</v>
      </c>
      <c r="Q23" s="43">
        <v>10000</v>
      </c>
    </row>
    <row r="24" spans="1:19" x14ac:dyDescent="0.25">
      <c r="A24" s="31" t="s">
        <v>937</v>
      </c>
      <c r="B24" s="31" t="s">
        <v>11</v>
      </c>
      <c r="C24" s="31" t="s">
        <v>12</v>
      </c>
      <c r="D24" s="31" t="s">
        <v>24</v>
      </c>
      <c r="E24" s="31" t="s">
        <v>918</v>
      </c>
      <c r="F24" s="31" t="s">
        <v>15</v>
      </c>
      <c r="G24" s="31" t="s">
        <v>16</v>
      </c>
      <c r="H24" s="31" t="s">
        <v>919</v>
      </c>
      <c r="I24" s="32" t="s">
        <v>18</v>
      </c>
      <c r="J24" s="32">
        <v>3</v>
      </c>
      <c r="K24" s="32"/>
      <c r="L24" s="43">
        <v>2000</v>
      </c>
      <c r="M24" s="43">
        <v>2000</v>
      </c>
      <c r="N24" s="43">
        <v>2000</v>
      </c>
      <c r="O24" s="43">
        <v>3000</v>
      </c>
      <c r="P24" s="43">
        <v>3000</v>
      </c>
      <c r="Q24" s="43">
        <v>3000</v>
      </c>
    </row>
    <row r="25" spans="1:19" x14ac:dyDescent="0.25">
      <c r="A25" s="31" t="s">
        <v>932</v>
      </c>
      <c r="B25" s="31" t="s">
        <v>11</v>
      </c>
      <c r="C25" s="31" t="s">
        <v>12</v>
      </c>
      <c r="D25" s="31" t="s">
        <v>28</v>
      </c>
      <c r="E25" s="31" t="s">
        <v>918</v>
      </c>
      <c r="F25" s="31" t="s">
        <v>15</v>
      </c>
      <c r="G25" s="31" t="s">
        <v>16</v>
      </c>
      <c r="H25" s="31" t="s">
        <v>919</v>
      </c>
      <c r="I25" s="32" t="s">
        <v>18</v>
      </c>
      <c r="J25" s="32">
        <v>3</v>
      </c>
      <c r="K25" s="32"/>
      <c r="L25" s="43">
        <v>40000</v>
      </c>
      <c r="M25" s="43">
        <v>35000</v>
      </c>
      <c r="N25" s="43">
        <v>35000</v>
      </c>
      <c r="O25" s="43">
        <v>37000</v>
      </c>
      <c r="P25" s="43">
        <v>38000</v>
      </c>
      <c r="Q25" s="43">
        <v>39000</v>
      </c>
    </row>
    <row r="26" spans="1:19" x14ac:dyDescent="0.25">
      <c r="A26" s="31" t="s">
        <v>942</v>
      </c>
      <c r="B26" s="31" t="s">
        <v>11</v>
      </c>
      <c r="C26" s="31" t="s">
        <v>12</v>
      </c>
      <c r="D26" s="31" t="s">
        <v>1719</v>
      </c>
      <c r="E26" s="31" t="s">
        <v>918</v>
      </c>
      <c r="F26" s="31" t="s">
        <v>15</v>
      </c>
      <c r="G26" s="31" t="s">
        <v>16</v>
      </c>
      <c r="H26" s="31" t="s">
        <v>919</v>
      </c>
      <c r="I26" s="32" t="s">
        <v>18</v>
      </c>
      <c r="J26" s="32">
        <v>3</v>
      </c>
      <c r="K26" s="32"/>
      <c r="L26" s="43">
        <v>20000</v>
      </c>
      <c r="M26" s="43">
        <v>5000</v>
      </c>
      <c r="N26" s="43">
        <v>5000</v>
      </c>
      <c r="O26" s="43">
        <v>20000</v>
      </c>
      <c r="P26" s="43">
        <v>21000</v>
      </c>
      <c r="Q26" s="43">
        <v>22000</v>
      </c>
    </row>
    <row r="27" spans="1:19" x14ac:dyDescent="0.25">
      <c r="A27" s="31" t="s">
        <v>934</v>
      </c>
      <c r="B27" s="31" t="s">
        <v>11</v>
      </c>
      <c r="C27" s="31" t="s">
        <v>12</v>
      </c>
      <c r="D27" s="31" t="s">
        <v>13</v>
      </c>
      <c r="E27" s="31" t="s">
        <v>918</v>
      </c>
      <c r="F27" s="31" t="s">
        <v>37</v>
      </c>
      <c r="G27" s="31" t="s">
        <v>16</v>
      </c>
      <c r="H27" s="31" t="s">
        <v>919</v>
      </c>
      <c r="I27" s="32" t="s">
        <v>38</v>
      </c>
      <c r="J27" s="32">
        <v>1</v>
      </c>
      <c r="K27" s="32"/>
      <c r="L27" s="43">
        <v>45000</v>
      </c>
      <c r="M27" s="43">
        <v>45000</v>
      </c>
      <c r="N27" s="43">
        <v>45000</v>
      </c>
      <c r="O27" s="43">
        <v>46000</v>
      </c>
      <c r="P27" s="43">
        <v>47000</v>
      </c>
      <c r="Q27" s="43">
        <v>48000</v>
      </c>
    </row>
    <row r="28" spans="1:19" x14ac:dyDescent="0.25">
      <c r="A28" s="31" t="s">
        <v>933</v>
      </c>
      <c r="B28" s="31" t="s">
        <v>11</v>
      </c>
      <c r="C28" s="31" t="s">
        <v>12</v>
      </c>
      <c r="D28" s="31" t="s">
        <v>32</v>
      </c>
      <c r="E28" s="31" t="s">
        <v>918</v>
      </c>
      <c r="F28" s="31" t="s">
        <v>37</v>
      </c>
      <c r="G28" s="31" t="s">
        <v>16</v>
      </c>
      <c r="H28" s="31" t="s">
        <v>919</v>
      </c>
      <c r="I28" s="32" t="s">
        <v>38</v>
      </c>
      <c r="J28" s="32">
        <v>1</v>
      </c>
      <c r="K28" s="32"/>
      <c r="L28" s="43">
        <v>2000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</row>
    <row r="29" spans="1:19" x14ac:dyDescent="0.25">
      <c r="A29" s="31" t="s">
        <v>931</v>
      </c>
      <c r="B29" s="31" t="s">
        <v>11</v>
      </c>
      <c r="C29" s="31" t="s">
        <v>12</v>
      </c>
      <c r="D29" s="31" t="s">
        <v>26</v>
      </c>
      <c r="E29" s="31" t="s">
        <v>918</v>
      </c>
      <c r="F29" s="31" t="s">
        <v>37</v>
      </c>
      <c r="G29" s="31" t="s">
        <v>16</v>
      </c>
      <c r="H29" s="31" t="s">
        <v>919</v>
      </c>
      <c r="I29" s="32" t="s">
        <v>38</v>
      </c>
      <c r="J29" s="32">
        <v>1</v>
      </c>
      <c r="K29" s="32"/>
      <c r="L29" s="43">
        <v>1500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</row>
    <row r="30" spans="1:19" x14ac:dyDescent="0.25">
      <c r="A30" s="31" t="s">
        <v>936</v>
      </c>
      <c r="B30" s="31" t="s">
        <v>11</v>
      </c>
      <c r="C30" s="31" t="s">
        <v>12</v>
      </c>
      <c r="D30" s="31" t="s">
        <v>147</v>
      </c>
      <c r="E30" s="31" t="s">
        <v>918</v>
      </c>
      <c r="F30" s="31" t="s">
        <v>37</v>
      </c>
      <c r="G30" s="31" t="s">
        <v>16</v>
      </c>
      <c r="H30" s="31" t="s">
        <v>919</v>
      </c>
      <c r="I30" s="32" t="s">
        <v>38</v>
      </c>
      <c r="J30" s="32">
        <v>1</v>
      </c>
      <c r="K30" s="32"/>
      <c r="L30" s="43">
        <v>5000</v>
      </c>
      <c r="M30" s="43">
        <v>7000</v>
      </c>
      <c r="N30" s="43">
        <v>7000</v>
      </c>
      <c r="O30" s="43">
        <v>8000</v>
      </c>
      <c r="P30" s="43">
        <v>8500</v>
      </c>
      <c r="Q30" s="43">
        <v>9000</v>
      </c>
    </row>
    <row r="31" spans="1:19" x14ac:dyDescent="0.25">
      <c r="A31" s="31"/>
      <c r="B31" s="31"/>
      <c r="C31" s="31"/>
      <c r="D31" s="31"/>
      <c r="E31" s="31"/>
      <c r="F31" s="31"/>
      <c r="G31" s="31"/>
      <c r="H31" s="31"/>
      <c r="I31" s="32"/>
      <c r="J31" s="32"/>
      <c r="K31" s="32"/>
    </row>
    <row r="32" spans="1:19" hidden="1" x14ac:dyDescent="0.25">
      <c r="A32" s="31" t="s">
        <v>944</v>
      </c>
      <c r="B32" s="31" t="s">
        <v>11</v>
      </c>
      <c r="C32" s="31" t="s">
        <v>12</v>
      </c>
      <c r="D32" s="31" t="s">
        <v>562</v>
      </c>
      <c r="E32" s="31" t="s">
        <v>918</v>
      </c>
      <c r="F32" s="31" t="s">
        <v>37</v>
      </c>
      <c r="G32" s="31" t="s">
        <v>16</v>
      </c>
      <c r="H32" s="31" t="s">
        <v>919</v>
      </c>
      <c r="I32" s="32" t="s">
        <v>38</v>
      </c>
      <c r="J32" s="32">
        <v>1</v>
      </c>
      <c r="K32" s="32"/>
    </row>
    <row r="33" spans="1:19" x14ac:dyDescent="0.25">
      <c r="A33" s="71" t="s">
        <v>938</v>
      </c>
      <c r="B33" s="31" t="s">
        <v>939</v>
      </c>
      <c r="C33" s="31" t="s">
        <v>347</v>
      </c>
      <c r="D33" s="31" t="s">
        <v>1652</v>
      </c>
      <c r="E33" s="31" t="s">
        <v>918</v>
      </c>
      <c r="F33" s="31" t="s">
        <v>15</v>
      </c>
      <c r="G33" s="31" t="s">
        <v>16</v>
      </c>
      <c r="H33" s="31" t="s">
        <v>919</v>
      </c>
      <c r="I33" s="32" t="s">
        <v>18</v>
      </c>
      <c r="J33" s="32">
        <v>3</v>
      </c>
      <c r="K33" s="32"/>
      <c r="L33" s="43">
        <v>150000</v>
      </c>
      <c r="M33" s="43">
        <v>150000</v>
      </c>
      <c r="N33" s="43">
        <v>150000</v>
      </c>
      <c r="O33" s="43">
        <v>150000</v>
      </c>
      <c r="P33" s="43">
        <v>150000</v>
      </c>
      <c r="Q33" s="43">
        <v>150000</v>
      </c>
    </row>
    <row r="34" spans="1:19" x14ac:dyDescent="0.25">
      <c r="A34" s="31"/>
      <c r="B34" s="31"/>
      <c r="C34" s="31"/>
      <c r="D34" s="31"/>
      <c r="E34" s="31"/>
      <c r="F34" s="31"/>
      <c r="G34" s="31"/>
      <c r="H34" s="31"/>
      <c r="I34" s="32"/>
      <c r="J34" s="32"/>
      <c r="K34" s="32"/>
    </row>
    <row r="35" spans="1:19" s="107" customFormat="1" x14ac:dyDescent="0.25">
      <c r="A35" s="50" t="s">
        <v>1186</v>
      </c>
      <c r="B35" s="52" t="s">
        <v>940</v>
      </c>
      <c r="C35" s="52" t="s">
        <v>12</v>
      </c>
      <c r="D35" s="52" t="s">
        <v>1653</v>
      </c>
      <c r="E35" s="52" t="s">
        <v>918</v>
      </c>
      <c r="F35" s="52" t="s">
        <v>15</v>
      </c>
      <c r="G35" s="52" t="s">
        <v>16</v>
      </c>
      <c r="H35" s="52" t="s">
        <v>919</v>
      </c>
      <c r="I35" s="104" t="s">
        <v>18</v>
      </c>
      <c r="J35" s="104">
        <v>3</v>
      </c>
      <c r="K35" s="104"/>
      <c r="L35" s="105">
        <v>500000</v>
      </c>
      <c r="M35" s="105">
        <v>500000</v>
      </c>
      <c r="N35" s="105">
        <v>500000</v>
      </c>
      <c r="O35" s="105">
        <v>500000</v>
      </c>
      <c r="P35" s="105">
        <v>500000</v>
      </c>
      <c r="Q35" s="105">
        <v>500000</v>
      </c>
      <c r="S35" s="106"/>
    </row>
    <row r="36" spans="1:19" s="107" customFormat="1" x14ac:dyDescent="0.25">
      <c r="A36" s="50" t="s">
        <v>1769</v>
      </c>
      <c r="B36" s="52"/>
      <c r="C36" s="52"/>
      <c r="D36" s="52" t="s">
        <v>1720</v>
      </c>
      <c r="E36" s="52"/>
      <c r="F36" s="52"/>
      <c r="G36" s="52"/>
      <c r="H36" s="52"/>
      <c r="I36" s="104"/>
      <c r="J36" s="104"/>
      <c r="K36" s="104"/>
      <c r="L36" s="105">
        <f>200000+25604+42495</f>
        <v>268099</v>
      </c>
      <c r="M36" s="105">
        <v>283099</v>
      </c>
      <c r="N36" s="105">
        <v>283099</v>
      </c>
      <c r="O36" s="105">
        <v>300000</v>
      </c>
      <c r="P36" s="105">
        <v>300000</v>
      </c>
      <c r="Q36" s="105">
        <v>0</v>
      </c>
      <c r="S36" s="106"/>
    </row>
    <row r="38" spans="1:19" ht="15.75" thickBot="1" x14ac:dyDescent="0.3">
      <c r="A38" s="93" t="s">
        <v>1203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1">
        <f t="shared" ref="L38:Q38" si="3">SUM(L5:L37)</f>
        <v>18077752.305504151</v>
      </c>
      <c r="M38" s="91">
        <f t="shared" si="3"/>
        <v>18366104.430925272</v>
      </c>
      <c r="N38" s="91">
        <f t="shared" si="3"/>
        <v>18366104.430925272</v>
      </c>
      <c r="O38" s="91">
        <f t="shared" si="3"/>
        <v>19283094.426654555</v>
      </c>
      <c r="P38" s="91">
        <f t="shared" si="3"/>
        <v>20030714.581427351</v>
      </c>
      <c r="Q38" s="91">
        <f t="shared" si="3"/>
        <v>20749487.23759158</v>
      </c>
    </row>
  </sheetData>
  <sortState xmlns:xlrd2="http://schemas.microsoft.com/office/spreadsheetml/2017/richdata2" ref="A2:Z28">
    <sortCondition ref="D2:D28"/>
  </sortState>
  <pageMargins left="0.70866141732283472" right="0.70866141732283472" top="0.74803149606299213" bottom="0.74803149606299213" header="0.31496062992125984" footer="0.31496062992125984"/>
  <pageSetup paperSize="9" scale="55" orientation="landscape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V32"/>
  <sheetViews>
    <sheetView topLeftCell="D1" zoomScale="110" zoomScaleNormal="110" workbookViewId="0">
      <pane ySplit="4" topLeftCell="A5" activePane="bottomLeft" state="frozen"/>
      <selection activeCell="F10" sqref="F10"/>
      <selection pane="bottomLeft" activeCell="D2" sqref="D2"/>
    </sheetView>
  </sheetViews>
  <sheetFormatPr defaultColWidth="9.125" defaultRowHeight="15" x14ac:dyDescent="0.25"/>
  <cols>
    <col min="1" max="1" width="40.375" style="35" bestFit="1" customWidth="1"/>
    <col min="2" max="3" width="0" style="35" hidden="1" customWidth="1"/>
    <col min="4" max="4" width="28" style="35" bestFit="1" customWidth="1"/>
    <col min="5" max="11" width="9.125" style="35" hidden="1" customWidth="1"/>
    <col min="12" max="12" width="11.25" style="35" hidden="1" customWidth="1"/>
    <col min="13" max="14" width="10.625" style="35" hidden="1" customWidth="1"/>
    <col min="15" max="15" width="11.625" style="35" bestFit="1" customWidth="1"/>
    <col min="16" max="16" width="12.25" style="35" customWidth="1"/>
    <col min="17" max="20" width="12.25" style="171" customWidth="1"/>
    <col min="21" max="21" width="9.125" style="35"/>
    <col min="22" max="22" width="11.125" style="37" bestFit="1" customWidth="1"/>
    <col min="23" max="16384" width="9.125" style="35"/>
  </cols>
  <sheetData>
    <row r="1" spans="1:22" ht="15.75" x14ac:dyDescent="0.25">
      <c r="D1" s="72" t="s">
        <v>1597</v>
      </c>
      <c r="E1" s="72"/>
      <c r="F1" s="72"/>
      <c r="G1" s="72"/>
    </row>
    <row r="2" spans="1:22" ht="15.75" x14ac:dyDescent="0.25">
      <c r="D2" s="19" t="s">
        <v>2342</v>
      </c>
      <c r="E2" s="46"/>
      <c r="F2" s="72"/>
      <c r="G2" s="72"/>
    </row>
    <row r="3" spans="1:22" ht="15.75" x14ac:dyDescent="0.25">
      <c r="D3" s="72" t="s">
        <v>948</v>
      </c>
      <c r="E3" s="72"/>
      <c r="F3" s="72"/>
      <c r="G3" s="72"/>
    </row>
    <row r="4" spans="1:22" ht="7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11" t="s">
        <v>2040</v>
      </c>
      <c r="M4" s="48" t="s">
        <v>2090</v>
      </c>
      <c r="N4" s="48" t="s">
        <v>2171</v>
      </c>
      <c r="O4" s="48" t="s">
        <v>2193</v>
      </c>
      <c r="P4" s="48" t="s">
        <v>2230</v>
      </c>
      <c r="Q4" s="48" t="s">
        <v>2340</v>
      </c>
      <c r="R4" s="48" t="s">
        <v>2343</v>
      </c>
      <c r="S4" s="48" t="s">
        <v>2228</v>
      </c>
      <c r="T4" s="48" t="s">
        <v>2229</v>
      </c>
    </row>
    <row r="5" spans="1:22" x14ac:dyDescent="0.25">
      <c r="A5" s="31" t="s">
        <v>966</v>
      </c>
      <c r="B5" s="31" t="s">
        <v>11</v>
      </c>
      <c r="C5" s="31" t="s">
        <v>12</v>
      </c>
      <c r="D5" s="31" t="s">
        <v>157</v>
      </c>
      <c r="E5" s="31" t="s">
        <v>947</v>
      </c>
      <c r="F5" s="31" t="s">
        <v>15</v>
      </c>
      <c r="G5" s="31" t="s">
        <v>16</v>
      </c>
      <c r="H5" s="31" t="s">
        <v>948</v>
      </c>
      <c r="I5" s="32" t="s">
        <v>18</v>
      </c>
      <c r="J5" s="32">
        <v>3</v>
      </c>
      <c r="K5" s="32"/>
      <c r="L5" s="43">
        <v>962825.5575</v>
      </c>
      <c r="M5" s="43">
        <v>432505.31</v>
      </c>
      <c r="N5" s="43">
        <v>432505.31</v>
      </c>
      <c r="O5" s="34">
        <v>974495.11067999993</v>
      </c>
      <c r="P5" s="34">
        <v>540984.42000000004</v>
      </c>
      <c r="Q5" s="34">
        <v>540984.42000000004</v>
      </c>
      <c r="R5" s="34">
        <f>V5</f>
        <v>988717.41071999993</v>
      </c>
      <c r="S5" s="34">
        <f>R5*1.044</f>
        <v>1032220.97679168</v>
      </c>
      <c r="T5" s="34">
        <f>S5*1.045</f>
        <v>1078670.9207473055</v>
      </c>
      <c r="V5" s="145">
        <f>'[1]6353DISA'!$E$5</f>
        <v>988717.41071999993</v>
      </c>
    </row>
    <row r="6" spans="1:22" x14ac:dyDescent="0.25">
      <c r="A6" s="31" t="s">
        <v>960</v>
      </c>
      <c r="B6" s="31" t="s">
        <v>11</v>
      </c>
      <c r="C6" s="31" t="s">
        <v>12</v>
      </c>
      <c r="D6" s="31" t="s">
        <v>1630</v>
      </c>
      <c r="E6" s="31" t="s">
        <v>947</v>
      </c>
      <c r="F6" s="31" t="s">
        <v>15</v>
      </c>
      <c r="G6" s="31" t="s">
        <v>16</v>
      </c>
      <c r="H6" s="31" t="s">
        <v>948</v>
      </c>
      <c r="I6" s="32" t="s">
        <v>18</v>
      </c>
      <c r="J6" s="32">
        <v>3</v>
      </c>
      <c r="K6" s="32"/>
      <c r="L6" s="43">
        <v>20000</v>
      </c>
      <c r="M6" s="43">
        <v>50000</v>
      </c>
      <c r="N6" s="43">
        <v>50000</v>
      </c>
      <c r="O6" s="34">
        <v>50000</v>
      </c>
      <c r="P6" s="34">
        <v>25000</v>
      </c>
      <c r="Q6" s="34">
        <v>25000</v>
      </c>
      <c r="R6" s="34">
        <v>25000</v>
      </c>
      <c r="S6" s="34">
        <f t="shared" ref="S6:S20" si="0">R6*1.044</f>
        <v>26100</v>
      </c>
      <c r="T6" s="34">
        <f t="shared" ref="T6:T20" si="1">S6*1.045</f>
        <v>27274.499999999996</v>
      </c>
      <c r="V6" s="145"/>
    </row>
    <row r="7" spans="1:22" x14ac:dyDescent="0.25">
      <c r="A7" s="31" t="s">
        <v>962</v>
      </c>
      <c r="B7" s="31" t="s">
        <v>11</v>
      </c>
      <c r="C7" s="31" t="s">
        <v>12</v>
      </c>
      <c r="D7" s="31" t="s">
        <v>153</v>
      </c>
      <c r="E7" s="31" t="s">
        <v>947</v>
      </c>
      <c r="F7" s="31" t="s">
        <v>15</v>
      </c>
      <c r="G7" s="31" t="s">
        <v>16</v>
      </c>
      <c r="H7" s="31" t="s">
        <v>948</v>
      </c>
      <c r="I7" s="32" t="s">
        <v>18</v>
      </c>
      <c r="J7" s="32">
        <v>3</v>
      </c>
      <c r="K7" s="32"/>
      <c r="L7" s="43">
        <v>80235.463125000009</v>
      </c>
      <c r="M7" s="43">
        <v>77414.67</v>
      </c>
      <c r="N7" s="43">
        <v>77414.67</v>
      </c>
      <c r="O7" s="34">
        <v>81207.925889999984</v>
      </c>
      <c r="P7" s="34">
        <v>77414.61</v>
      </c>
      <c r="Q7" s="34">
        <v>77414.61</v>
      </c>
      <c r="R7" s="34">
        <f t="shared" ref="R7:R20" si="2">V7</f>
        <v>82393.117559999984</v>
      </c>
      <c r="S7" s="34">
        <f t="shared" si="0"/>
        <v>86018.414732639983</v>
      </c>
      <c r="T7" s="34">
        <f t="shared" si="1"/>
        <v>89889.243395608777</v>
      </c>
      <c r="V7" s="145">
        <f>'[1]6353DISA'!$I$5</f>
        <v>82393.117559999984</v>
      </c>
    </row>
    <row r="8" spans="1:22" s="171" customFormat="1" x14ac:dyDescent="0.25">
      <c r="A8" s="169" t="s">
        <v>2253</v>
      </c>
      <c r="B8" s="169"/>
      <c r="C8" s="169"/>
      <c r="D8" s="169" t="s">
        <v>155</v>
      </c>
      <c r="E8" s="169"/>
      <c r="F8" s="169"/>
      <c r="G8" s="169"/>
      <c r="H8" s="169"/>
      <c r="I8" s="170"/>
      <c r="J8" s="170"/>
      <c r="K8" s="170"/>
      <c r="L8" s="43"/>
      <c r="M8" s="43"/>
      <c r="N8" s="43"/>
      <c r="O8" s="34">
        <v>0</v>
      </c>
      <c r="P8" s="34">
        <v>0</v>
      </c>
      <c r="Q8" s="34">
        <v>0</v>
      </c>
      <c r="R8" s="34">
        <f t="shared" si="2"/>
        <v>50420.86</v>
      </c>
      <c r="S8" s="34">
        <f t="shared" si="0"/>
        <v>52639.377840000001</v>
      </c>
      <c r="T8" s="34">
        <f t="shared" si="1"/>
        <v>55008.149842799998</v>
      </c>
      <c r="V8" s="145">
        <f>'[2]6353DISA'!$J$5</f>
        <v>50420.86</v>
      </c>
    </row>
    <row r="9" spans="1:22" x14ac:dyDescent="0.25">
      <c r="A9" s="31" t="s">
        <v>958</v>
      </c>
      <c r="B9" s="31" t="s">
        <v>11</v>
      </c>
      <c r="C9" s="31" t="s">
        <v>12</v>
      </c>
      <c r="D9" s="31" t="s">
        <v>41</v>
      </c>
      <c r="E9" s="31" t="s">
        <v>947</v>
      </c>
      <c r="F9" s="31" t="s">
        <v>15</v>
      </c>
      <c r="G9" s="31" t="s">
        <v>16</v>
      </c>
      <c r="H9" s="31" t="s">
        <v>948</v>
      </c>
      <c r="I9" s="32" t="s">
        <v>18</v>
      </c>
      <c r="J9" s="32">
        <v>3</v>
      </c>
      <c r="K9" s="32"/>
      <c r="L9" s="43">
        <v>211821.62264999998</v>
      </c>
      <c r="M9" s="43">
        <v>95151.248200000002</v>
      </c>
      <c r="N9" s="43">
        <v>95151.248200000002</v>
      </c>
      <c r="O9" s="34">
        <v>214388.92434959998</v>
      </c>
      <c r="P9" s="34">
        <v>117246.9786</v>
      </c>
      <c r="Q9" s="34">
        <v>117246.9786</v>
      </c>
      <c r="R9" s="34">
        <f t="shared" si="2"/>
        <v>217517.83035839998</v>
      </c>
      <c r="S9" s="34">
        <f t="shared" si="0"/>
        <v>227088.61489416959</v>
      </c>
      <c r="T9" s="34">
        <f t="shared" si="1"/>
        <v>237307.60256440719</v>
      </c>
      <c r="V9" s="145">
        <f>'[1]6353DISA'!$K$5</f>
        <v>217517.83035839998</v>
      </c>
    </row>
    <row r="10" spans="1:22" x14ac:dyDescent="0.25">
      <c r="A10" s="31" t="s">
        <v>957</v>
      </c>
      <c r="B10" s="31" t="s">
        <v>11</v>
      </c>
      <c r="C10" s="31" t="s">
        <v>12</v>
      </c>
      <c r="D10" s="31" t="s">
        <v>36</v>
      </c>
      <c r="E10" s="31" t="s">
        <v>947</v>
      </c>
      <c r="F10" s="31" t="s">
        <v>15</v>
      </c>
      <c r="G10" s="31" t="s">
        <v>16</v>
      </c>
      <c r="H10" s="31" t="s">
        <v>948</v>
      </c>
      <c r="I10" s="32" t="s">
        <v>18</v>
      </c>
      <c r="J10" s="32">
        <v>3</v>
      </c>
      <c r="K10" s="32"/>
      <c r="L10" s="43">
        <v>45230.399999999994</v>
      </c>
      <c r="M10" s="43">
        <v>49719.199999999997</v>
      </c>
      <c r="N10" s="43">
        <v>49719.199999999997</v>
      </c>
      <c r="O10" s="34">
        <v>50810.399999999994</v>
      </c>
      <c r="P10" s="34">
        <v>50810.399999999994</v>
      </c>
      <c r="Q10" s="34">
        <v>50810.399999999994</v>
      </c>
      <c r="R10" s="34">
        <f t="shared" si="2"/>
        <v>50810.399999999994</v>
      </c>
      <c r="S10" s="34">
        <f t="shared" si="0"/>
        <v>53046.057599999993</v>
      </c>
      <c r="T10" s="34">
        <f t="shared" si="1"/>
        <v>55433.13019199999</v>
      </c>
      <c r="V10" s="145">
        <f>'[1]6353DISA'!$L$5</f>
        <v>50810.399999999994</v>
      </c>
    </row>
    <row r="11" spans="1:22" x14ac:dyDescent="0.25">
      <c r="A11" s="31" t="s">
        <v>965</v>
      </c>
      <c r="B11" s="31" t="s">
        <v>11</v>
      </c>
      <c r="C11" s="31" t="s">
        <v>12</v>
      </c>
      <c r="D11" s="31" t="s">
        <v>47</v>
      </c>
      <c r="E11" s="31" t="s">
        <v>947</v>
      </c>
      <c r="F11" s="31" t="s">
        <v>15</v>
      </c>
      <c r="G11" s="31" t="s">
        <v>16</v>
      </c>
      <c r="H11" s="31" t="s">
        <v>948</v>
      </c>
      <c r="I11" s="32" t="s">
        <v>18</v>
      </c>
      <c r="J11" s="32">
        <v>3</v>
      </c>
      <c r="K11" s="32"/>
      <c r="L11" s="43">
        <v>218376.30000000002</v>
      </c>
      <c r="M11" s="43">
        <v>18198.025000000001</v>
      </c>
      <c r="N11" s="43">
        <v>18198.025000000001</v>
      </c>
      <c r="O11" s="34">
        <v>218376.30000000002</v>
      </c>
      <c r="P11" s="34">
        <v>54594.075000000004</v>
      </c>
      <c r="Q11" s="34">
        <v>54594.075000000004</v>
      </c>
      <c r="R11" s="34">
        <f t="shared" si="2"/>
        <v>229076.73870000002</v>
      </c>
      <c r="S11" s="34">
        <f t="shared" si="0"/>
        <v>239156.11520280002</v>
      </c>
      <c r="T11" s="34">
        <f t="shared" si="1"/>
        <v>249918.14038692601</v>
      </c>
      <c r="V11" s="145">
        <f>'[1]6353DISA'!$M$5</f>
        <v>229076.73870000002</v>
      </c>
    </row>
    <row r="12" spans="1:22" x14ac:dyDescent="0.25">
      <c r="A12" s="31" t="s">
        <v>967</v>
      </c>
      <c r="B12" s="31" t="s">
        <v>11</v>
      </c>
      <c r="C12" s="31" t="s">
        <v>12</v>
      </c>
      <c r="D12" s="31" t="s">
        <v>45</v>
      </c>
      <c r="E12" s="31" t="s">
        <v>947</v>
      </c>
      <c r="F12" s="31" t="s">
        <v>37</v>
      </c>
      <c r="G12" s="31" t="s">
        <v>16</v>
      </c>
      <c r="H12" s="31" t="s">
        <v>948</v>
      </c>
      <c r="I12" s="32" t="s">
        <v>38</v>
      </c>
      <c r="J12" s="32">
        <v>3</v>
      </c>
      <c r="K12" s="32"/>
      <c r="L12" s="43">
        <v>19668</v>
      </c>
      <c r="M12" s="43">
        <v>9147.64</v>
      </c>
      <c r="N12" s="43">
        <v>9147.64</v>
      </c>
      <c r="O12" s="34">
        <v>20147.28</v>
      </c>
      <c r="P12" s="34">
        <v>11864.16</v>
      </c>
      <c r="Q12" s="34">
        <v>11864.16</v>
      </c>
      <c r="R12" s="34">
        <f t="shared" si="2"/>
        <v>23568.764159999999</v>
      </c>
      <c r="S12" s="34">
        <f t="shared" si="0"/>
        <v>24605.78978304</v>
      </c>
      <c r="T12" s="34">
        <f t="shared" si="1"/>
        <v>25713.050323276799</v>
      </c>
      <c r="V12" s="145">
        <f>'[1]6353DISA'!$N$5</f>
        <v>23568.764159999999</v>
      </c>
    </row>
    <row r="13" spans="1:22" hidden="1" x14ac:dyDescent="0.25">
      <c r="A13" s="31" t="s">
        <v>964</v>
      </c>
      <c r="B13" s="31"/>
      <c r="C13" s="31"/>
      <c r="D13" s="31" t="s">
        <v>156</v>
      </c>
      <c r="E13" s="31"/>
      <c r="F13" s="31"/>
      <c r="G13" s="31"/>
      <c r="H13" s="31"/>
      <c r="I13" s="32"/>
      <c r="J13" s="32"/>
      <c r="K13" s="32"/>
      <c r="L13" s="43">
        <v>0</v>
      </c>
      <c r="M13" s="43">
        <v>0</v>
      </c>
      <c r="N13" s="43">
        <v>0</v>
      </c>
      <c r="O13" s="34">
        <v>0</v>
      </c>
      <c r="P13" s="34">
        <v>0</v>
      </c>
      <c r="Q13" s="34">
        <v>0</v>
      </c>
      <c r="R13" s="34">
        <f t="shared" si="2"/>
        <v>0</v>
      </c>
      <c r="S13" s="34">
        <f t="shared" si="0"/>
        <v>0</v>
      </c>
      <c r="T13" s="34">
        <f t="shared" si="1"/>
        <v>0</v>
      </c>
      <c r="V13" s="145"/>
    </row>
    <row r="14" spans="1:22" x14ac:dyDescent="0.25">
      <c r="A14" s="31" t="s">
        <v>956</v>
      </c>
      <c r="B14" s="31" t="s">
        <v>11</v>
      </c>
      <c r="C14" s="31" t="s">
        <v>12</v>
      </c>
      <c r="D14" s="31" t="s">
        <v>151</v>
      </c>
      <c r="E14" s="31" t="s">
        <v>947</v>
      </c>
      <c r="F14" s="31" t="s">
        <v>15</v>
      </c>
      <c r="G14" s="31" t="s">
        <v>16</v>
      </c>
      <c r="H14" s="31" t="s">
        <v>948</v>
      </c>
      <c r="I14" s="32" t="s">
        <v>18</v>
      </c>
      <c r="J14" s="32">
        <v>3</v>
      </c>
      <c r="K14" s="32"/>
      <c r="L14" s="43">
        <v>223.68</v>
      </c>
      <c r="M14" s="43">
        <v>128.30000000000001</v>
      </c>
      <c r="N14" s="43">
        <v>128.30000000000001</v>
      </c>
      <c r="O14" s="34">
        <v>237.60000000000002</v>
      </c>
      <c r="P14" s="34">
        <v>154.5</v>
      </c>
      <c r="Q14" s="34">
        <v>154.5</v>
      </c>
      <c r="R14" s="34">
        <f t="shared" si="2"/>
        <v>247.20000000000002</v>
      </c>
      <c r="S14" s="34">
        <f t="shared" si="0"/>
        <v>258.07680000000005</v>
      </c>
      <c r="T14" s="34">
        <f t="shared" si="1"/>
        <v>269.69025600000003</v>
      </c>
      <c r="V14" s="145">
        <f>'[1]6353DISA'!$R$5</f>
        <v>247.20000000000002</v>
      </c>
    </row>
    <row r="15" spans="1:22" s="107" customFormat="1" x14ac:dyDescent="0.25">
      <c r="A15" s="52" t="s">
        <v>961</v>
      </c>
      <c r="B15" s="52" t="s">
        <v>11</v>
      </c>
      <c r="C15" s="52" t="s">
        <v>12</v>
      </c>
      <c r="D15" s="52" t="s">
        <v>193</v>
      </c>
      <c r="E15" s="52" t="s">
        <v>947</v>
      </c>
      <c r="F15" s="52" t="s">
        <v>15</v>
      </c>
      <c r="G15" s="52" t="s">
        <v>16</v>
      </c>
      <c r="H15" s="52" t="s">
        <v>948</v>
      </c>
      <c r="I15" s="104" t="s">
        <v>18</v>
      </c>
      <c r="J15" s="104">
        <v>3</v>
      </c>
      <c r="K15" s="104"/>
      <c r="L15" s="105">
        <v>48741.24</v>
      </c>
      <c r="M15" s="105">
        <v>51787.78</v>
      </c>
      <c r="N15" s="105">
        <v>51787.78</v>
      </c>
      <c r="O15" s="34">
        <v>54325.150439999998</v>
      </c>
      <c r="P15" s="34">
        <v>53147.01</v>
      </c>
      <c r="Q15" s="34">
        <v>53147.01</v>
      </c>
      <c r="R15" s="34">
        <f t="shared" si="2"/>
        <v>53600.160000000003</v>
      </c>
      <c r="S15" s="34">
        <f t="shared" si="0"/>
        <v>55958.567040000009</v>
      </c>
      <c r="T15" s="34">
        <f t="shared" si="1"/>
        <v>58476.702556800003</v>
      </c>
      <c r="V15" s="145">
        <f>'[1]6353DISA'!$S$5</f>
        <v>53600.160000000003</v>
      </c>
    </row>
    <row r="16" spans="1:22" hidden="1" x14ac:dyDescent="0.25">
      <c r="A16" s="31" t="s">
        <v>963</v>
      </c>
      <c r="B16" s="31" t="s">
        <v>11</v>
      </c>
      <c r="C16" s="31" t="s">
        <v>12</v>
      </c>
      <c r="D16" s="31" t="s">
        <v>155</v>
      </c>
      <c r="E16" s="31" t="s">
        <v>947</v>
      </c>
      <c r="F16" s="31" t="s">
        <v>37</v>
      </c>
      <c r="G16" s="31" t="s">
        <v>16</v>
      </c>
      <c r="H16" s="31" t="s">
        <v>948</v>
      </c>
      <c r="I16" s="32" t="s">
        <v>38</v>
      </c>
      <c r="J16" s="32">
        <v>1</v>
      </c>
      <c r="K16" s="32"/>
      <c r="L16" s="43">
        <v>0</v>
      </c>
      <c r="M16" s="43">
        <v>0</v>
      </c>
      <c r="N16" s="43">
        <v>0</v>
      </c>
      <c r="O16" s="34">
        <v>0</v>
      </c>
      <c r="P16" s="34">
        <v>0</v>
      </c>
      <c r="Q16" s="34">
        <v>0</v>
      </c>
      <c r="R16" s="34">
        <f t="shared" si="2"/>
        <v>0</v>
      </c>
      <c r="S16" s="34">
        <f t="shared" si="0"/>
        <v>0</v>
      </c>
      <c r="T16" s="34">
        <f t="shared" si="1"/>
        <v>0</v>
      </c>
      <c r="V16" s="145"/>
    </row>
    <row r="17" spans="1:22" x14ac:dyDescent="0.25">
      <c r="A17" s="31" t="s">
        <v>959</v>
      </c>
      <c r="B17" s="31" t="s">
        <v>11</v>
      </c>
      <c r="C17" s="31" t="s">
        <v>12</v>
      </c>
      <c r="D17" s="31" t="s">
        <v>43</v>
      </c>
      <c r="E17" s="31" t="s">
        <v>947</v>
      </c>
      <c r="F17" s="31" t="s">
        <v>15</v>
      </c>
      <c r="G17" s="31" t="s">
        <v>16</v>
      </c>
      <c r="H17" s="31" t="s">
        <v>948</v>
      </c>
      <c r="I17" s="32" t="s">
        <v>18</v>
      </c>
      <c r="J17" s="32">
        <v>3</v>
      </c>
      <c r="K17" s="32"/>
      <c r="L17" s="43">
        <v>2994.72</v>
      </c>
      <c r="M17" s="43">
        <v>2840.6967</v>
      </c>
      <c r="N17" s="43">
        <v>2840.6967</v>
      </c>
      <c r="O17" s="34">
        <v>2994.72</v>
      </c>
      <c r="P17" s="34">
        <v>3914.0901000000003</v>
      </c>
      <c r="Q17" s="34">
        <v>3914.0901000000003</v>
      </c>
      <c r="R17" s="34">
        <f t="shared" si="2"/>
        <v>2994.72</v>
      </c>
      <c r="S17" s="34">
        <f t="shared" si="0"/>
        <v>3126.4876799999997</v>
      </c>
      <c r="T17" s="34">
        <f t="shared" si="1"/>
        <v>3267.1796255999993</v>
      </c>
      <c r="V17" s="145">
        <f>'[1]6353DISA'!$T$5</f>
        <v>2994.72</v>
      </c>
    </row>
    <row r="18" spans="1:22" x14ac:dyDescent="0.25">
      <c r="A18" s="31" t="s">
        <v>2125</v>
      </c>
      <c r="B18" s="31"/>
      <c r="C18" s="31"/>
      <c r="D18" s="31" t="s">
        <v>162</v>
      </c>
      <c r="E18" s="31"/>
      <c r="F18" s="31"/>
      <c r="G18" s="31"/>
      <c r="H18" s="31"/>
      <c r="I18" s="32"/>
      <c r="J18" s="32"/>
      <c r="K18" s="32"/>
      <c r="L18" s="43">
        <v>0</v>
      </c>
      <c r="M18" s="43">
        <v>0</v>
      </c>
      <c r="N18" s="43">
        <v>0</v>
      </c>
      <c r="O18" s="34">
        <v>78168.425333759995</v>
      </c>
      <c r="P18" s="34">
        <v>78168.425333759995</v>
      </c>
      <c r="Q18" s="34">
        <v>78168.425333759995</v>
      </c>
      <c r="R18" s="34">
        <f t="shared" si="2"/>
        <v>80673.38</v>
      </c>
      <c r="S18" s="34">
        <f t="shared" si="0"/>
        <v>84223.008720000013</v>
      </c>
      <c r="T18" s="34">
        <f t="shared" si="1"/>
        <v>88013.044112400006</v>
      </c>
      <c r="V18" s="145">
        <f>'[1]6353DISA'!$F$5</f>
        <v>80673.38</v>
      </c>
    </row>
    <row r="19" spans="1:22" x14ac:dyDescent="0.25">
      <c r="A19" s="31"/>
      <c r="B19" s="31"/>
      <c r="C19" s="31"/>
      <c r="D19" s="31"/>
      <c r="E19" s="31"/>
      <c r="F19" s="31"/>
      <c r="G19" s="31"/>
      <c r="H19" s="31"/>
      <c r="I19" s="32"/>
      <c r="J19" s="32"/>
      <c r="K19" s="32"/>
      <c r="L19" s="43"/>
      <c r="M19" s="43"/>
      <c r="N19" s="43"/>
      <c r="P19" s="34"/>
      <c r="Q19" s="34"/>
      <c r="R19" s="34"/>
      <c r="S19" s="34"/>
      <c r="T19" s="34"/>
      <c r="V19" s="145"/>
    </row>
    <row r="20" spans="1:22" x14ac:dyDescent="0.25">
      <c r="A20" s="31" t="s">
        <v>955</v>
      </c>
      <c r="B20" s="31" t="s">
        <v>11</v>
      </c>
      <c r="C20" s="31" t="s">
        <v>12</v>
      </c>
      <c r="D20" s="31" t="s">
        <v>30</v>
      </c>
      <c r="E20" s="31" t="s">
        <v>947</v>
      </c>
      <c r="F20" s="31" t="s">
        <v>15</v>
      </c>
      <c r="G20" s="31" t="s">
        <v>16</v>
      </c>
      <c r="H20" s="31" t="s">
        <v>948</v>
      </c>
      <c r="I20" s="32" t="s">
        <v>18</v>
      </c>
      <c r="J20" s="32">
        <v>3</v>
      </c>
      <c r="K20" s="32"/>
      <c r="L20" s="43">
        <v>9628.2555749999992</v>
      </c>
      <c r="M20" s="43">
        <v>4185.1931000000004</v>
      </c>
      <c r="N20" s="43">
        <v>4185.1931000000004</v>
      </c>
      <c r="O20" s="34">
        <v>9744.9511067999993</v>
      </c>
      <c r="P20" s="34">
        <v>6144.4163000000008</v>
      </c>
      <c r="Q20" s="34">
        <v>6144.4163000000008</v>
      </c>
      <c r="R20" s="34">
        <f t="shared" si="2"/>
        <v>9887.1741072000004</v>
      </c>
      <c r="S20" s="34">
        <f t="shared" si="0"/>
        <v>10322.2097679168</v>
      </c>
      <c r="T20" s="34">
        <f t="shared" si="1"/>
        <v>10786.709207473055</v>
      </c>
      <c r="V20" s="145">
        <f>'[1]6353DISA'!$Q$5</f>
        <v>9887.1741072000004</v>
      </c>
    </row>
    <row r="21" spans="1:22" x14ac:dyDescent="0.25">
      <c r="A21" s="31" t="s">
        <v>951</v>
      </c>
      <c r="B21" s="31" t="s">
        <v>11</v>
      </c>
      <c r="C21" s="31" t="s">
        <v>12</v>
      </c>
      <c r="D21" s="31" t="s">
        <v>20</v>
      </c>
      <c r="E21" s="31" t="s">
        <v>947</v>
      </c>
      <c r="F21" s="31" t="s">
        <v>15</v>
      </c>
      <c r="G21" s="31" t="s">
        <v>16</v>
      </c>
      <c r="H21" s="31" t="s">
        <v>948</v>
      </c>
      <c r="I21" s="32" t="s">
        <v>18</v>
      </c>
      <c r="J21" s="32">
        <v>3</v>
      </c>
      <c r="K21" s="32"/>
      <c r="L21" s="43">
        <v>1000</v>
      </c>
      <c r="M21" s="43">
        <v>1000</v>
      </c>
      <c r="N21" s="43">
        <v>1000</v>
      </c>
      <c r="O21" s="43">
        <v>1000</v>
      </c>
      <c r="P21" s="43">
        <v>1000</v>
      </c>
      <c r="Q21" s="43">
        <v>1000</v>
      </c>
      <c r="R21" s="43">
        <v>1200</v>
      </c>
      <c r="S21" s="43">
        <v>1300</v>
      </c>
      <c r="T21" s="43">
        <v>1600</v>
      </c>
    </row>
    <row r="22" spans="1:22" hidden="1" x14ac:dyDescent="0.25">
      <c r="A22" s="31" t="s">
        <v>953</v>
      </c>
      <c r="B22" s="31" t="s">
        <v>11</v>
      </c>
      <c r="C22" s="31" t="s">
        <v>12</v>
      </c>
      <c r="D22" s="31" t="s">
        <v>24</v>
      </c>
      <c r="E22" s="31" t="s">
        <v>947</v>
      </c>
      <c r="F22" s="31" t="s">
        <v>15</v>
      </c>
      <c r="G22" s="31" t="s">
        <v>16</v>
      </c>
      <c r="H22" s="31" t="s">
        <v>948</v>
      </c>
      <c r="I22" s="32" t="s">
        <v>18</v>
      </c>
      <c r="J22" s="32">
        <v>3</v>
      </c>
      <c r="K22" s="32"/>
      <c r="L22" s="43">
        <v>0</v>
      </c>
      <c r="M22" s="43"/>
      <c r="N22" s="43"/>
      <c r="O22" s="43"/>
      <c r="P22" s="43"/>
      <c r="Q22" s="43"/>
      <c r="R22" s="43"/>
      <c r="S22" s="43"/>
      <c r="T22" s="43"/>
    </row>
    <row r="23" spans="1:22" hidden="1" x14ac:dyDescent="0.25">
      <c r="A23" s="31" t="s">
        <v>950</v>
      </c>
      <c r="B23" s="31" t="s">
        <v>11</v>
      </c>
      <c r="C23" s="31" t="s">
        <v>12</v>
      </c>
      <c r="D23" s="31" t="s">
        <v>28</v>
      </c>
      <c r="E23" s="31" t="s">
        <v>947</v>
      </c>
      <c r="F23" s="31" t="s">
        <v>15</v>
      </c>
      <c r="G23" s="31" t="s">
        <v>16</v>
      </c>
      <c r="H23" s="31" t="s">
        <v>948</v>
      </c>
      <c r="I23" s="32" t="s">
        <v>18</v>
      </c>
      <c r="J23" s="32">
        <v>3</v>
      </c>
      <c r="K23" s="32"/>
      <c r="L23" s="43">
        <v>0</v>
      </c>
      <c r="M23" s="43">
        <v>0</v>
      </c>
      <c r="N23" s="43">
        <v>0</v>
      </c>
      <c r="O23" s="43">
        <v>0</v>
      </c>
      <c r="P23" s="43"/>
      <c r="Q23" s="43"/>
      <c r="R23" s="43"/>
      <c r="S23" s="43"/>
      <c r="T23" s="43"/>
    </row>
    <row r="24" spans="1:22" x14ac:dyDescent="0.25">
      <c r="A24" s="31" t="s">
        <v>954</v>
      </c>
      <c r="B24" s="31" t="s">
        <v>11</v>
      </c>
      <c r="C24" s="31" t="s">
        <v>12</v>
      </c>
      <c r="D24" s="31" t="s">
        <v>13</v>
      </c>
      <c r="E24" s="31" t="s">
        <v>947</v>
      </c>
      <c r="F24" s="31" t="s">
        <v>15</v>
      </c>
      <c r="G24" s="31" t="s">
        <v>16</v>
      </c>
      <c r="H24" s="31" t="s">
        <v>948</v>
      </c>
      <c r="I24" s="32" t="s">
        <v>18</v>
      </c>
      <c r="J24" s="32">
        <v>3</v>
      </c>
      <c r="K24" s="32"/>
      <c r="L24" s="43">
        <v>4000</v>
      </c>
      <c r="M24" s="43">
        <v>2000</v>
      </c>
      <c r="N24" s="43">
        <v>2000</v>
      </c>
      <c r="O24" s="43">
        <v>2000</v>
      </c>
      <c r="P24" s="43">
        <v>2000</v>
      </c>
      <c r="Q24" s="43">
        <v>2000</v>
      </c>
      <c r="R24" s="43">
        <v>2000</v>
      </c>
      <c r="S24" s="43">
        <v>2200</v>
      </c>
      <c r="T24" s="43">
        <v>2400</v>
      </c>
    </row>
    <row r="25" spans="1:22" hidden="1" x14ac:dyDescent="0.25">
      <c r="A25" s="31" t="s">
        <v>946</v>
      </c>
      <c r="B25" s="31" t="s">
        <v>11</v>
      </c>
      <c r="C25" s="31" t="s">
        <v>12</v>
      </c>
      <c r="D25" s="31" t="s">
        <v>32</v>
      </c>
      <c r="E25" s="31" t="s">
        <v>947</v>
      </c>
      <c r="F25" s="31" t="s">
        <v>15</v>
      </c>
      <c r="G25" s="31" t="s">
        <v>16</v>
      </c>
      <c r="H25" s="31" t="s">
        <v>948</v>
      </c>
      <c r="I25" s="32" t="s">
        <v>18</v>
      </c>
      <c r="J25" s="32">
        <v>3</v>
      </c>
      <c r="K25" s="32"/>
      <c r="L25" s="43">
        <v>0</v>
      </c>
      <c r="M25" s="43"/>
      <c r="N25" s="43"/>
      <c r="O25" s="43"/>
      <c r="P25" s="43"/>
      <c r="Q25" s="43"/>
      <c r="R25" s="43"/>
      <c r="S25" s="43"/>
      <c r="T25" s="43"/>
    </row>
    <row r="26" spans="1:22" hidden="1" x14ac:dyDescent="0.25">
      <c r="A26" s="31" t="s">
        <v>949</v>
      </c>
      <c r="B26" s="31" t="s">
        <v>11</v>
      </c>
      <c r="C26" s="31" t="s">
        <v>12</v>
      </c>
      <c r="D26" s="31" t="s">
        <v>26</v>
      </c>
      <c r="E26" s="31" t="s">
        <v>947</v>
      </c>
      <c r="F26" s="31" t="s">
        <v>15</v>
      </c>
      <c r="G26" s="31" t="s">
        <v>16</v>
      </c>
      <c r="H26" s="31" t="s">
        <v>948</v>
      </c>
      <c r="I26" s="32" t="s">
        <v>18</v>
      </c>
      <c r="J26" s="32">
        <v>3</v>
      </c>
      <c r="K26" s="32"/>
      <c r="L26" s="43">
        <v>0</v>
      </c>
      <c r="M26" s="43"/>
      <c r="N26" s="43"/>
      <c r="O26" s="43"/>
      <c r="P26" s="43"/>
      <c r="Q26" s="43"/>
      <c r="R26" s="43"/>
      <c r="S26" s="43"/>
      <c r="T26" s="43"/>
    </row>
    <row r="27" spans="1:22" x14ac:dyDescent="0.25">
      <c r="A27" s="31" t="s">
        <v>952</v>
      </c>
      <c r="B27" s="31" t="s">
        <v>11</v>
      </c>
      <c r="C27" s="31" t="s">
        <v>12</v>
      </c>
      <c r="D27" s="31" t="s">
        <v>22</v>
      </c>
      <c r="E27" s="31" t="s">
        <v>947</v>
      </c>
      <c r="F27" s="31" t="s">
        <v>15</v>
      </c>
      <c r="G27" s="31" t="s">
        <v>16</v>
      </c>
      <c r="H27" s="31" t="s">
        <v>948</v>
      </c>
      <c r="I27" s="32" t="s">
        <v>18</v>
      </c>
      <c r="J27" s="32">
        <v>3</v>
      </c>
      <c r="K27" s="32"/>
      <c r="L27" s="43">
        <v>2500</v>
      </c>
      <c r="M27" s="43">
        <v>2500</v>
      </c>
      <c r="N27" s="43">
        <v>2500</v>
      </c>
      <c r="O27" s="43">
        <v>2600</v>
      </c>
      <c r="P27" s="43">
        <v>2000</v>
      </c>
      <c r="Q27" s="43">
        <v>2000</v>
      </c>
      <c r="R27" s="43">
        <v>2000</v>
      </c>
      <c r="S27" s="43">
        <v>2300</v>
      </c>
      <c r="T27" s="43">
        <v>2400</v>
      </c>
    </row>
    <row r="28" spans="1:22" hidden="1" x14ac:dyDescent="0.25">
      <c r="A28" s="31" t="s">
        <v>968</v>
      </c>
      <c r="B28" s="31" t="s">
        <v>11</v>
      </c>
      <c r="C28" s="31" t="s">
        <v>12</v>
      </c>
      <c r="D28" s="31" t="s">
        <v>774</v>
      </c>
      <c r="E28" s="31" t="s">
        <v>947</v>
      </c>
      <c r="F28" s="31" t="s">
        <v>295</v>
      </c>
      <c r="G28" s="31" t="s">
        <v>16</v>
      </c>
      <c r="H28" s="31" t="s">
        <v>948</v>
      </c>
      <c r="I28" s="32" t="s">
        <v>38</v>
      </c>
      <c r="J28" s="32">
        <v>1</v>
      </c>
      <c r="K28" s="32"/>
    </row>
    <row r="30" spans="1:22" ht="15.75" thickBot="1" x14ac:dyDescent="0.3">
      <c r="A30" s="93" t="s">
        <v>1203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1">
        <f t="shared" ref="L30:T30" si="3">SUM(L5:L29)</f>
        <v>1627245.2388499998</v>
      </c>
      <c r="M30" s="91">
        <f t="shared" si="3"/>
        <v>796578.06300000008</v>
      </c>
      <c r="N30" s="91">
        <f t="shared" si="3"/>
        <v>796578.06300000008</v>
      </c>
      <c r="O30" s="91">
        <f t="shared" si="3"/>
        <v>1760496.78780016</v>
      </c>
      <c r="P30" s="91">
        <f t="shared" si="3"/>
        <v>1024443.0853337601</v>
      </c>
      <c r="Q30" s="91">
        <f t="shared" si="3"/>
        <v>1024443.0853337601</v>
      </c>
      <c r="R30" s="91">
        <f t="shared" si="3"/>
        <v>1820107.7556055998</v>
      </c>
      <c r="S30" s="91">
        <f t="shared" si="3"/>
        <v>1900563.6968522463</v>
      </c>
      <c r="T30" s="91">
        <f t="shared" si="3"/>
        <v>1986428.0632105977</v>
      </c>
    </row>
    <row r="32" spans="1:22" x14ac:dyDescent="0.25">
      <c r="R32" s="184"/>
      <c r="S32" s="184"/>
      <c r="T32" s="184"/>
    </row>
  </sheetData>
  <sortState xmlns:xlrd2="http://schemas.microsoft.com/office/spreadsheetml/2017/richdata2" ref="A2:AC23">
    <sortCondition ref="D2:D23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S34"/>
  <sheetViews>
    <sheetView zoomScale="110" zoomScaleNormal="110" workbookViewId="0">
      <pane ySplit="4" topLeftCell="A6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375" style="35" bestFit="1" customWidth="1"/>
    <col min="2" max="2" width="0" style="35" hidden="1" customWidth="1"/>
    <col min="3" max="3" width="23.375" style="35" hidden="1" customWidth="1"/>
    <col min="4" max="4" width="30.75" style="35" customWidth="1"/>
    <col min="5" max="11" width="9.125" style="35" hidden="1" customWidth="1"/>
    <col min="12" max="12" width="13.25" style="35" bestFit="1" customWidth="1"/>
    <col min="13" max="13" width="12.75" style="35" customWidth="1"/>
    <col min="14" max="17" width="12.7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725</v>
      </c>
      <c r="B3" s="72"/>
      <c r="C3" s="72"/>
      <c r="D3" s="72"/>
    </row>
    <row r="4" spans="1:19" ht="65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988</v>
      </c>
      <c r="B6" s="31" t="s">
        <v>290</v>
      </c>
      <c r="C6" s="31" t="s">
        <v>770</v>
      </c>
      <c r="D6" s="31" t="s">
        <v>1618</v>
      </c>
      <c r="E6" s="31" t="s">
        <v>971</v>
      </c>
      <c r="F6" s="31" t="s">
        <v>292</v>
      </c>
      <c r="G6" s="31" t="s">
        <v>16</v>
      </c>
      <c r="H6" s="31" t="s">
        <v>725</v>
      </c>
      <c r="I6" s="32" t="s">
        <v>18</v>
      </c>
      <c r="J6" s="32">
        <v>3</v>
      </c>
      <c r="K6" s="32"/>
      <c r="L6" s="43">
        <v>50000</v>
      </c>
      <c r="M6" s="105">
        <v>20366</v>
      </c>
      <c r="N6" s="105">
        <v>20366</v>
      </c>
      <c r="O6" s="105">
        <v>50000</v>
      </c>
      <c r="P6" s="105">
        <v>52000</v>
      </c>
      <c r="Q6" s="105">
        <v>54000</v>
      </c>
    </row>
    <row r="7" spans="1:19" x14ac:dyDescent="0.25">
      <c r="A7" s="31"/>
      <c r="B7" s="31"/>
      <c r="C7" s="31"/>
      <c r="D7" s="31"/>
      <c r="E7" s="31"/>
      <c r="F7" s="31"/>
      <c r="G7" s="31"/>
      <c r="H7" s="31"/>
      <c r="I7" s="32"/>
      <c r="J7" s="32"/>
      <c r="K7" s="32"/>
    </row>
    <row r="8" spans="1:19" x14ac:dyDescent="0.25">
      <c r="A8" s="95" t="s">
        <v>1609</v>
      </c>
      <c r="B8" s="95"/>
      <c r="C8" s="95"/>
      <c r="D8" s="95"/>
      <c r="E8" s="95"/>
      <c r="F8" s="95"/>
      <c r="G8" s="95"/>
      <c r="H8" s="95"/>
      <c r="L8" s="97">
        <f t="shared" ref="L8:Q8" si="0">L6</f>
        <v>50000</v>
      </c>
      <c r="M8" s="97">
        <f t="shared" si="0"/>
        <v>20366</v>
      </c>
      <c r="N8" s="97">
        <f t="shared" si="0"/>
        <v>20366</v>
      </c>
      <c r="O8" s="97">
        <f t="shared" si="0"/>
        <v>50000</v>
      </c>
      <c r="P8" s="97">
        <f t="shared" si="0"/>
        <v>52000</v>
      </c>
      <c r="Q8" s="97">
        <f t="shared" si="0"/>
        <v>54000</v>
      </c>
    </row>
    <row r="9" spans="1:19" x14ac:dyDescent="0.25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</row>
    <row r="10" spans="1:19" x14ac:dyDescent="0.25">
      <c r="A10" s="31" t="s">
        <v>986</v>
      </c>
      <c r="B10" s="31" t="s">
        <v>11</v>
      </c>
      <c r="C10" s="31" t="s">
        <v>12</v>
      </c>
      <c r="D10" s="31" t="s">
        <v>157</v>
      </c>
      <c r="E10" s="31" t="s">
        <v>971</v>
      </c>
      <c r="F10" s="31" t="s">
        <v>15</v>
      </c>
      <c r="G10" s="31" t="s">
        <v>16</v>
      </c>
      <c r="H10" s="31" t="s">
        <v>725</v>
      </c>
      <c r="I10" s="32" t="s">
        <v>18</v>
      </c>
      <c r="J10" s="32">
        <v>3</v>
      </c>
      <c r="K10" s="32"/>
      <c r="L10" s="34">
        <v>4639860.3908399995</v>
      </c>
      <c r="M10" s="34">
        <v>5417287.1399999997</v>
      </c>
      <c r="N10" s="34">
        <v>5417287.1399999997</v>
      </c>
      <c r="O10" s="34">
        <f>S10</f>
        <v>4464543.6643199995</v>
      </c>
      <c r="P10" s="34">
        <f>O10*1.044</f>
        <v>4660983.5855500801</v>
      </c>
      <c r="Q10" s="34">
        <f>P10*1.045</f>
        <v>4870727.8468998335</v>
      </c>
      <c r="S10" s="145">
        <f>'[1]6401SPORTS'!$E$24</f>
        <v>4464543.6643199995</v>
      </c>
    </row>
    <row r="11" spans="1:19" s="107" customFormat="1" x14ac:dyDescent="0.25">
      <c r="A11" s="52" t="s">
        <v>982</v>
      </c>
      <c r="B11" s="52" t="s">
        <v>11</v>
      </c>
      <c r="C11" s="52" t="s">
        <v>12</v>
      </c>
      <c r="D11" s="52" t="s">
        <v>1630</v>
      </c>
      <c r="E11" s="52" t="s">
        <v>971</v>
      </c>
      <c r="F11" s="52" t="s">
        <v>15</v>
      </c>
      <c r="G11" s="52" t="s">
        <v>16</v>
      </c>
      <c r="H11" s="52" t="s">
        <v>725</v>
      </c>
      <c r="I11" s="104" t="s">
        <v>18</v>
      </c>
      <c r="J11" s="104">
        <v>3</v>
      </c>
      <c r="K11" s="104"/>
      <c r="L11" s="114">
        <v>130000</v>
      </c>
      <c r="M11" s="34">
        <v>180000</v>
      </c>
      <c r="N11" s="34">
        <v>180000</v>
      </c>
      <c r="O11" s="34">
        <v>180000</v>
      </c>
      <c r="P11" s="34">
        <f t="shared" ref="P11:P23" si="1">O11*1.044</f>
        <v>187920</v>
      </c>
      <c r="Q11" s="34">
        <f t="shared" ref="Q11:Q23" si="2">P11*1.045</f>
        <v>196376.4</v>
      </c>
      <c r="S11" s="145"/>
    </row>
    <row r="12" spans="1:19" x14ac:dyDescent="0.25">
      <c r="A12" s="31" t="s">
        <v>983</v>
      </c>
      <c r="B12" s="31" t="s">
        <v>11</v>
      </c>
      <c r="C12" s="31" t="s">
        <v>12</v>
      </c>
      <c r="D12" s="31" t="s">
        <v>153</v>
      </c>
      <c r="E12" s="31" t="s">
        <v>971</v>
      </c>
      <c r="F12" s="31" t="s">
        <v>15</v>
      </c>
      <c r="G12" s="31" t="s">
        <v>16</v>
      </c>
      <c r="H12" s="31" t="s">
        <v>725</v>
      </c>
      <c r="I12" s="32" t="s">
        <v>18</v>
      </c>
      <c r="J12" s="32">
        <v>3</v>
      </c>
      <c r="K12" s="32"/>
      <c r="L12" s="34">
        <v>386655.03256999992</v>
      </c>
      <c r="M12" s="34">
        <v>493849.98000000004</v>
      </c>
      <c r="N12" s="34">
        <v>493849.98000000004</v>
      </c>
      <c r="O12" s="34">
        <f t="shared" ref="O12:O23" si="3">S12</f>
        <v>372045.30536</v>
      </c>
      <c r="P12" s="34">
        <f t="shared" si="1"/>
        <v>388415.29879584</v>
      </c>
      <c r="Q12" s="34">
        <f t="shared" si="2"/>
        <v>405893.98724165279</v>
      </c>
      <c r="S12" s="145">
        <f>'[1]6401SPORTS'!$I$24</f>
        <v>372045.30536</v>
      </c>
    </row>
    <row r="13" spans="1:19" x14ac:dyDescent="0.25">
      <c r="A13" s="31" t="s">
        <v>984</v>
      </c>
      <c r="B13" s="31" t="s">
        <v>11</v>
      </c>
      <c r="C13" s="31" t="s">
        <v>12</v>
      </c>
      <c r="D13" s="31" t="s">
        <v>155</v>
      </c>
      <c r="E13" s="31" t="s">
        <v>971</v>
      </c>
      <c r="F13" s="31" t="s">
        <v>15</v>
      </c>
      <c r="G13" s="31" t="s">
        <v>16</v>
      </c>
      <c r="H13" s="31" t="s">
        <v>725</v>
      </c>
      <c r="I13" s="32" t="s">
        <v>18</v>
      </c>
      <c r="J13" s="32">
        <v>3</v>
      </c>
      <c r="K13" s="32"/>
      <c r="L13" s="34">
        <v>0</v>
      </c>
      <c r="M13" s="34">
        <v>0</v>
      </c>
      <c r="N13" s="34">
        <v>0</v>
      </c>
      <c r="O13" s="34">
        <f t="shared" si="3"/>
        <v>61464.42</v>
      </c>
      <c r="P13" s="34">
        <f t="shared" si="1"/>
        <v>64168.854480000002</v>
      </c>
      <c r="Q13" s="34">
        <f t="shared" si="2"/>
        <v>67056.452931599997</v>
      </c>
      <c r="S13" s="145">
        <f>'[2]6401SPORTS'!$J$24</f>
        <v>61464.42</v>
      </c>
    </row>
    <row r="14" spans="1:19" x14ac:dyDescent="0.25">
      <c r="A14" s="31" t="s">
        <v>980</v>
      </c>
      <c r="B14" s="31" t="s">
        <v>11</v>
      </c>
      <c r="C14" s="31" t="s">
        <v>12</v>
      </c>
      <c r="D14" s="31" t="s">
        <v>41</v>
      </c>
      <c r="E14" s="31" t="s">
        <v>971</v>
      </c>
      <c r="F14" s="31" t="s">
        <v>15</v>
      </c>
      <c r="G14" s="31" t="s">
        <v>16</v>
      </c>
      <c r="H14" s="31" t="s">
        <v>725</v>
      </c>
      <c r="I14" s="32" t="s">
        <v>18</v>
      </c>
      <c r="J14" s="32">
        <v>3</v>
      </c>
      <c r="K14" s="32"/>
      <c r="L14" s="34">
        <v>1020769.2859847998</v>
      </c>
      <c r="M14" s="34">
        <v>1113487.8947999999</v>
      </c>
      <c r="N14" s="34">
        <v>1113487.8947999999</v>
      </c>
      <c r="O14" s="34">
        <f t="shared" si="3"/>
        <v>982199.60615039966</v>
      </c>
      <c r="P14" s="34">
        <f t="shared" si="1"/>
        <v>1025416.3888210172</v>
      </c>
      <c r="Q14" s="34">
        <f t="shared" si="2"/>
        <v>1071560.126317963</v>
      </c>
      <c r="S14" s="145">
        <f>'[1]6401SPORTS'!$K$24</f>
        <v>982199.60615039966</v>
      </c>
    </row>
    <row r="15" spans="1:19" x14ac:dyDescent="0.25">
      <c r="A15" s="31" t="s">
        <v>979</v>
      </c>
      <c r="B15" s="31" t="s">
        <v>11</v>
      </c>
      <c r="C15" s="31" t="s">
        <v>12</v>
      </c>
      <c r="D15" s="31" t="s">
        <v>36</v>
      </c>
      <c r="E15" s="31" t="s">
        <v>971</v>
      </c>
      <c r="F15" s="31" t="s">
        <v>15</v>
      </c>
      <c r="G15" s="31" t="s">
        <v>16</v>
      </c>
      <c r="H15" s="31" t="s">
        <v>725</v>
      </c>
      <c r="I15" s="32" t="s">
        <v>18</v>
      </c>
      <c r="J15" s="32">
        <v>3</v>
      </c>
      <c r="K15" s="32"/>
      <c r="L15" s="34">
        <v>134899.20000000001</v>
      </c>
      <c r="M15" s="34">
        <v>190195.20000000001</v>
      </c>
      <c r="N15" s="34">
        <v>190195.20000000001</v>
      </c>
      <c r="O15" s="34">
        <f t="shared" si="3"/>
        <v>134899.20000000001</v>
      </c>
      <c r="P15" s="34">
        <f t="shared" si="1"/>
        <v>140834.7648</v>
      </c>
      <c r="Q15" s="34">
        <f t="shared" si="2"/>
        <v>147172.32921599998</v>
      </c>
      <c r="S15" s="145">
        <f>'[1]6401SPORTS'!$L$24</f>
        <v>134899.20000000001</v>
      </c>
    </row>
    <row r="16" spans="1:19" x14ac:dyDescent="0.25">
      <c r="A16" s="31" t="s">
        <v>985</v>
      </c>
      <c r="B16" s="31" t="s">
        <v>11</v>
      </c>
      <c r="C16" s="31" t="s">
        <v>12</v>
      </c>
      <c r="D16" s="31" t="s">
        <v>47</v>
      </c>
      <c r="E16" s="31" t="s">
        <v>971</v>
      </c>
      <c r="F16" s="31" t="s">
        <v>15</v>
      </c>
      <c r="G16" s="31" t="s">
        <v>16</v>
      </c>
      <c r="H16" s="31" t="s">
        <v>725</v>
      </c>
      <c r="I16" s="32" t="s">
        <v>18</v>
      </c>
      <c r="J16" s="32">
        <v>3</v>
      </c>
      <c r="K16" s="32"/>
      <c r="L16" s="34">
        <v>524849.64</v>
      </c>
      <c r="M16" s="34">
        <v>428306.69999999995</v>
      </c>
      <c r="N16" s="34">
        <v>428306.69999999995</v>
      </c>
      <c r="O16" s="34">
        <f t="shared" si="3"/>
        <v>569837.10863999999</v>
      </c>
      <c r="P16" s="34">
        <f t="shared" si="1"/>
        <v>594909.94142016</v>
      </c>
      <c r="Q16" s="34">
        <f t="shared" si="2"/>
        <v>621680.88878406712</v>
      </c>
      <c r="S16" s="145">
        <f>'[1]6401SPORTS'!$M$24</f>
        <v>569837.10863999999</v>
      </c>
    </row>
    <row r="17" spans="1:19" x14ac:dyDescent="0.25">
      <c r="A17" s="31" t="s">
        <v>989</v>
      </c>
      <c r="B17" s="31" t="s">
        <v>11</v>
      </c>
      <c r="C17" s="31" t="s">
        <v>12</v>
      </c>
      <c r="D17" s="31" t="s">
        <v>45</v>
      </c>
      <c r="E17" s="31" t="s">
        <v>788</v>
      </c>
      <c r="F17" s="31" t="s">
        <v>37</v>
      </c>
      <c r="G17" s="31" t="s">
        <v>16</v>
      </c>
      <c r="H17" s="31" t="s">
        <v>725</v>
      </c>
      <c r="I17" s="32" t="s">
        <v>38</v>
      </c>
      <c r="J17" s="32">
        <v>3</v>
      </c>
      <c r="K17" s="32"/>
      <c r="L17" s="34">
        <v>21726</v>
      </c>
      <c r="M17" s="34">
        <v>15375.929999999998</v>
      </c>
      <c r="N17" s="34">
        <v>15375.929999999998</v>
      </c>
      <c r="O17" s="34">
        <f t="shared" si="3"/>
        <v>23568.764159999999</v>
      </c>
      <c r="P17" s="34">
        <f t="shared" si="1"/>
        <v>24605.78978304</v>
      </c>
      <c r="Q17" s="34">
        <f t="shared" si="2"/>
        <v>25713.050323276799</v>
      </c>
      <c r="S17" s="145">
        <f>'[1]6401SPORTS'!$N$24</f>
        <v>23568.764159999999</v>
      </c>
    </row>
    <row r="18" spans="1:19" x14ac:dyDescent="0.25">
      <c r="A18" s="31" t="s">
        <v>987</v>
      </c>
      <c r="B18" s="31" t="s">
        <v>11</v>
      </c>
      <c r="C18" s="31" t="s">
        <v>12</v>
      </c>
      <c r="D18" s="31" t="s">
        <v>156</v>
      </c>
      <c r="E18" s="31" t="s">
        <v>971</v>
      </c>
      <c r="F18" s="31" t="s">
        <v>15</v>
      </c>
      <c r="G18" s="31" t="s">
        <v>16</v>
      </c>
      <c r="H18" s="31" t="s">
        <v>725</v>
      </c>
      <c r="I18" s="32" t="s">
        <v>18</v>
      </c>
      <c r="J18" s="32">
        <v>3</v>
      </c>
      <c r="K18" s="32"/>
      <c r="L18" s="34">
        <v>12141.251879999998</v>
      </c>
      <c r="M18" s="34">
        <v>9957.75</v>
      </c>
      <c r="N18" s="34">
        <v>9957.75</v>
      </c>
      <c r="O18" s="34">
        <f t="shared" si="3"/>
        <v>11395.286999999998</v>
      </c>
      <c r="P18" s="34">
        <f t="shared" si="1"/>
        <v>11896.679627999998</v>
      </c>
      <c r="Q18" s="34">
        <f t="shared" si="2"/>
        <v>12432.030211259997</v>
      </c>
      <c r="S18" s="145">
        <f>'[1]6401SPORTS'!$P$24</f>
        <v>11395.286999999998</v>
      </c>
    </row>
    <row r="19" spans="1:19" x14ac:dyDescent="0.25">
      <c r="A19" s="31" t="s">
        <v>978</v>
      </c>
      <c r="B19" s="31" t="s">
        <v>11</v>
      </c>
      <c r="C19" s="31" t="s">
        <v>12</v>
      </c>
      <c r="D19" s="31" t="s">
        <v>151</v>
      </c>
      <c r="E19" s="31" t="s">
        <v>971</v>
      </c>
      <c r="F19" s="31" t="s">
        <v>15</v>
      </c>
      <c r="G19" s="31" t="s">
        <v>16</v>
      </c>
      <c r="H19" s="31" t="s">
        <v>725</v>
      </c>
      <c r="I19" s="32" t="s">
        <v>18</v>
      </c>
      <c r="J19" s="32">
        <v>3</v>
      </c>
      <c r="K19" s="32"/>
      <c r="L19" s="34">
        <v>2732.4000000000005</v>
      </c>
      <c r="M19" s="34">
        <v>3182.7</v>
      </c>
      <c r="N19" s="34">
        <v>3182.7</v>
      </c>
      <c r="O19" s="34">
        <f t="shared" si="3"/>
        <v>2595.599999999999</v>
      </c>
      <c r="P19" s="34">
        <f t="shared" si="1"/>
        <v>2709.806399999999</v>
      </c>
      <c r="Q19" s="34">
        <f t="shared" si="2"/>
        <v>2831.747687999999</v>
      </c>
      <c r="S19" s="145">
        <f>'[1]6401SPORTS'!$R$24</f>
        <v>2595.599999999999</v>
      </c>
    </row>
    <row r="20" spans="1:19" x14ac:dyDescent="0.25">
      <c r="A20" s="31" t="s">
        <v>981</v>
      </c>
      <c r="B20" s="31" t="s">
        <v>11</v>
      </c>
      <c r="C20" s="31" t="s">
        <v>12</v>
      </c>
      <c r="D20" s="31" t="s">
        <v>43</v>
      </c>
      <c r="E20" s="31" t="s">
        <v>971</v>
      </c>
      <c r="F20" s="31" t="s">
        <v>15</v>
      </c>
      <c r="G20" s="31" t="s">
        <v>16</v>
      </c>
      <c r="H20" s="31" t="s">
        <v>725</v>
      </c>
      <c r="I20" s="32" t="s">
        <v>18</v>
      </c>
      <c r="J20" s="32">
        <v>3</v>
      </c>
      <c r="K20" s="32"/>
      <c r="L20" s="34">
        <v>34439.280000000006</v>
      </c>
      <c r="M20" s="34">
        <v>52205.836488998393</v>
      </c>
      <c r="N20" s="34">
        <v>52205.836488998393</v>
      </c>
      <c r="O20" s="34">
        <f t="shared" si="3"/>
        <v>31431.753415200008</v>
      </c>
      <c r="P20" s="34">
        <f t="shared" si="1"/>
        <v>32814.750565468807</v>
      </c>
      <c r="Q20" s="34">
        <f t="shared" si="2"/>
        <v>34291.414340914904</v>
      </c>
      <c r="S20" s="145">
        <f>'[1]6401SPORTS'!$T$24</f>
        <v>31431.753415200008</v>
      </c>
    </row>
    <row r="21" spans="1:19" x14ac:dyDescent="0.25">
      <c r="A21" s="31" t="s">
        <v>1199</v>
      </c>
      <c r="B21" s="31" t="s">
        <v>162</v>
      </c>
      <c r="C21" s="31" t="s">
        <v>12</v>
      </c>
      <c r="D21" s="31" t="s">
        <v>162</v>
      </c>
      <c r="E21" s="31" t="s">
        <v>971</v>
      </c>
      <c r="L21" s="34">
        <v>161569.5270912</v>
      </c>
      <c r="M21" s="34">
        <v>161098.22889984</v>
      </c>
      <c r="N21" s="34">
        <v>161098.22889984</v>
      </c>
      <c r="O21" s="34">
        <f t="shared" si="3"/>
        <v>131607.76070847997</v>
      </c>
      <c r="P21" s="34">
        <f t="shared" si="1"/>
        <v>137398.50217965309</v>
      </c>
      <c r="Q21" s="34">
        <f t="shared" si="2"/>
        <v>143581.43477773748</v>
      </c>
      <c r="S21" s="145">
        <f>'[1]6401SPORTS'!$F$24</f>
        <v>131607.76070847997</v>
      </c>
    </row>
    <row r="22" spans="1:19" x14ac:dyDescent="0.25">
      <c r="A22" s="31"/>
      <c r="B22" s="31"/>
      <c r="C22" s="31"/>
      <c r="D22" s="31"/>
      <c r="E22" s="31"/>
      <c r="M22" s="34"/>
      <c r="N22" s="34"/>
      <c r="O22" s="34"/>
      <c r="P22" s="34"/>
      <c r="Q22" s="34"/>
      <c r="S22" s="145"/>
    </row>
    <row r="23" spans="1:19" x14ac:dyDescent="0.25">
      <c r="A23" s="31" t="s">
        <v>977</v>
      </c>
      <c r="B23" s="31" t="s">
        <v>11</v>
      </c>
      <c r="C23" s="31" t="s">
        <v>12</v>
      </c>
      <c r="D23" s="31" t="s">
        <v>30</v>
      </c>
      <c r="E23" s="31" t="s">
        <v>971</v>
      </c>
      <c r="F23" s="31" t="s">
        <v>15</v>
      </c>
      <c r="G23" s="31" t="s">
        <v>16</v>
      </c>
      <c r="H23" s="31" t="s">
        <v>725</v>
      </c>
      <c r="I23" s="32" t="s">
        <v>18</v>
      </c>
      <c r="J23" s="32">
        <v>3</v>
      </c>
      <c r="K23" s="32"/>
      <c r="L23" s="34">
        <v>46398.6039084</v>
      </c>
      <c r="M23" s="34">
        <v>61646.993400000007</v>
      </c>
      <c r="N23" s="34">
        <v>61646.993400000007</v>
      </c>
      <c r="O23" s="34">
        <f t="shared" si="3"/>
        <v>44645.436643199995</v>
      </c>
      <c r="P23" s="34">
        <f t="shared" si="1"/>
        <v>46609.835855500794</v>
      </c>
      <c r="Q23" s="34">
        <f t="shared" si="2"/>
        <v>48707.278468998324</v>
      </c>
      <c r="S23" s="145">
        <f>'[1]6401SPORTS'!$Q$24</f>
        <v>44645.436643199995</v>
      </c>
    </row>
    <row r="24" spans="1:19" x14ac:dyDescent="0.25">
      <c r="A24" s="31" t="s">
        <v>974</v>
      </c>
      <c r="B24" s="31" t="s">
        <v>11</v>
      </c>
      <c r="C24" s="31" t="s">
        <v>12</v>
      </c>
      <c r="D24" s="31" t="s">
        <v>20</v>
      </c>
      <c r="E24" s="31" t="s">
        <v>971</v>
      </c>
      <c r="F24" s="31" t="s">
        <v>15</v>
      </c>
      <c r="G24" s="31" t="s">
        <v>16</v>
      </c>
      <c r="H24" s="31" t="s">
        <v>725</v>
      </c>
      <c r="I24" s="32" t="s">
        <v>18</v>
      </c>
      <c r="J24" s="32">
        <v>3</v>
      </c>
      <c r="K24" s="32"/>
      <c r="L24" s="43">
        <v>4000</v>
      </c>
      <c r="M24" s="43">
        <v>4000</v>
      </c>
      <c r="N24" s="43">
        <v>4000</v>
      </c>
      <c r="O24" s="43">
        <v>4000</v>
      </c>
      <c r="P24" s="43">
        <v>4200</v>
      </c>
      <c r="Q24" s="43">
        <v>4400</v>
      </c>
    </row>
    <row r="25" spans="1:19" x14ac:dyDescent="0.25">
      <c r="A25" s="31" t="s">
        <v>976</v>
      </c>
      <c r="B25" s="31" t="s">
        <v>11</v>
      </c>
      <c r="C25" s="31" t="s">
        <v>12</v>
      </c>
      <c r="D25" s="31" t="s">
        <v>24</v>
      </c>
      <c r="E25" s="31" t="s">
        <v>971</v>
      </c>
      <c r="F25" s="31" t="s">
        <v>15</v>
      </c>
      <c r="G25" s="31" t="s">
        <v>16</v>
      </c>
      <c r="H25" s="31" t="s">
        <v>725</v>
      </c>
      <c r="I25" s="32" t="s">
        <v>18</v>
      </c>
      <c r="J25" s="32">
        <v>3</v>
      </c>
      <c r="K25" s="32"/>
      <c r="L25" s="43">
        <v>2000</v>
      </c>
      <c r="M25" s="43">
        <v>3000</v>
      </c>
      <c r="N25" s="43">
        <v>3000</v>
      </c>
      <c r="O25" s="43">
        <v>3000</v>
      </c>
      <c r="P25" s="43">
        <v>3200</v>
      </c>
      <c r="Q25" s="43">
        <v>3400</v>
      </c>
    </row>
    <row r="26" spans="1:19" x14ac:dyDescent="0.25">
      <c r="A26" s="31" t="s">
        <v>970</v>
      </c>
      <c r="B26" s="31" t="s">
        <v>11</v>
      </c>
      <c r="C26" s="31" t="s">
        <v>12</v>
      </c>
      <c r="D26" s="31" t="s">
        <v>28</v>
      </c>
      <c r="E26" s="31" t="s">
        <v>971</v>
      </c>
      <c r="F26" s="31" t="s">
        <v>15</v>
      </c>
      <c r="G26" s="31" t="s">
        <v>16</v>
      </c>
      <c r="H26" s="31" t="s">
        <v>725</v>
      </c>
      <c r="I26" s="32" t="s">
        <v>18</v>
      </c>
      <c r="J26" s="32">
        <v>3</v>
      </c>
      <c r="K26" s="32"/>
      <c r="L26" s="43">
        <v>20000</v>
      </c>
      <c r="M26" s="43">
        <v>20000</v>
      </c>
      <c r="N26" s="43">
        <v>20000</v>
      </c>
      <c r="O26" s="43">
        <v>20000</v>
      </c>
      <c r="P26" s="43">
        <v>22000</v>
      </c>
      <c r="Q26" s="43">
        <v>24000</v>
      </c>
    </row>
    <row r="27" spans="1:19" x14ac:dyDescent="0.25">
      <c r="A27" s="31" t="s">
        <v>973</v>
      </c>
      <c r="B27" s="31" t="s">
        <v>11</v>
      </c>
      <c r="C27" s="31" t="s">
        <v>12</v>
      </c>
      <c r="D27" s="31" t="s">
        <v>13</v>
      </c>
      <c r="E27" s="31" t="s">
        <v>971</v>
      </c>
      <c r="F27" s="31" t="s">
        <v>15</v>
      </c>
      <c r="G27" s="31" t="s">
        <v>16</v>
      </c>
      <c r="H27" s="31" t="s">
        <v>725</v>
      </c>
      <c r="I27" s="32" t="s">
        <v>18</v>
      </c>
      <c r="J27" s="32">
        <v>3</v>
      </c>
      <c r="K27" s="32"/>
      <c r="L27" s="43">
        <v>10000</v>
      </c>
      <c r="M27" s="43">
        <v>10000</v>
      </c>
      <c r="N27" s="43">
        <v>10000</v>
      </c>
      <c r="O27" s="43">
        <v>10000</v>
      </c>
      <c r="P27" s="43">
        <v>12000</v>
      </c>
      <c r="Q27" s="43">
        <v>14000</v>
      </c>
    </row>
    <row r="28" spans="1:19" hidden="1" x14ac:dyDescent="0.25">
      <c r="A28" s="31" t="s">
        <v>972</v>
      </c>
      <c r="B28" s="31" t="s">
        <v>11</v>
      </c>
      <c r="C28" s="31" t="s">
        <v>12</v>
      </c>
      <c r="D28" s="31" t="s">
        <v>32</v>
      </c>
      <c r="E28" s="31" t="s">
        <v>788</v>
      </c>
      <c r="F28" s="31" t="s">
        <v>37</v>
      </c>
      <c r="G28" s="31" t="s">
        <v>16</v>
      </c>
      <c r="H28" s="31" t="s">
        <v>725</v>
      </c>
      <c r="I28" s="32" t="s">
        <v>38</v>
      </c>
      <c r="J28" s="32">
        <v>1</v>
      </c>
      <c r="K28" s="32"/>
      <c r="L28" s="34">
        <v>0</v>
      </c>
      <c r="M28" s="34"/>
      <c r="N28" s="34"/>
      <c r="O28" s="34"/>
      <c r="P28" s="34"/>
      <c r="Q28" s="34"/>
    </row>
    <row r="29" spans="1:19" hidden="1" x14ac:dyDescent="0.25">
      <c r="A29" s="31" t="s">
        <v>969</v>
      </c>
      <c r="B29" s="31" t="s">
        <v>11</v>
      </c>
      <c r="C29" s="31" t="s">
        <v>12</v>
      </c>
      <c r="D29" s="31" t="s">
        <v>26</v>
      </c>
      <c r="E29" s="31" t="s">
        <v>788</v>
      </c>
      <c r="F29" s="31" t="s">
        <v>37</v>
      </c>
      <c r="G29" s="31" t="s">
        <v>16</v>
      </c>
      <c r="H29" s="31" t="s">
        <v>725</v>
      </c>
      <c r="I29" s="32" t="s">
        <v>38</v>
      </c>
      <c r="J29" s="32">
        <v>1</v>
      </c>
      <c r="K29" s="32"/>
      <c r="L29" s="34">
        <v>0</v>
      </c>
      <c r="M29" s="34"/>
      <c r="N29" s="34"/>
      <c r="O29" s="34"/>
      <c r="P29" s="34"/>
      <c r="Q29" s="34"/>
    </row>
    <row r="30" spans="1:19" x14ac:dyDescent="0.25">
      <c r="A30" s="31" t="s">
        <v>975</v>
      </c>
      <c r="B30" s="31" t="s">
        <v>11</v>
      </c>
      <c r="C30" s="31" t="s">
        <v>12</v>
      </c>
      <c r="D30" s="31" t="s">
        <v>22</v>
      </c>
      <c r="E30" s="31" t="s">
        <v>971</v>
      </c>
      <c r="F30" s="31" t="s">
        <v>15</v>
      </c>
      <c r="G30" s="31" t="s">
        <v>16</v>
      </c>
      <c r="H30" s="31" t="s">
        <v>725</v>
      </c>
      <c r="I30" s="32" t="s">
        <v>18</v>
      </c>
      <c r="J30" s="32">
        <v>3</v>
      </c>
      <c r="K30" s="32"/>
      <c r="L30" s="43">
        <v>10000</v>
      </c>
      <c r="M30" s="43">
        <v>10000</v>
      </c>
      <c r="N30" s="43">
        <v>10000</v>
      </c>
      <c r="O30" s="43">
        <v>10000</v>
      </c>
      <c r="P30" s="43">
        <v>12000</v>
      </c>
      <c r="Q30" s="43">
        <v>14000</v>
      </c>
    </row>
    <row r="31" spans="1:19" hidden="1" x14ac:dyDescent="0.25">
      <c r="A31" s="31" t="s">
        <v>990</v>
      </c>
      <c r="B31" s="31" t="s">
        <v>11</v>
      </c>
      <c r="C31" s="31" t="s">
        <v>12</v>
      </c>
      <c r="D31" s="31" t="s">
        <v>991</v>
      </c>
      <c r="E31" s="31" t="s">
        <v>788</v>
      </c>
      <c r="F31" s="31" t="s">
        <v>295</v>
      </c>
      <c r="G31" s="31" t="s">
        <v>16</v>
      </c>
      <c r="H31" s="31" t="s">
        <v>725</v>
      </c>
      <c r="I31" s="32" t="s">
        <v>38</v>
      </c>
      <c r="J31" s="32">
        <v>1</v>
      </c>
      <c r="K31" s="32"/>
    </row>
    <row r="32" spans="1:19" x14ac:dyDescent="0.25">
      <c r="C32" s="31"/>
    </row>
    <row r="33" spans="1:17" ht="15.75" thickBot="1" x14ac:dyDescent="0.3">
      <c r="A33" s="93" t="s">
        <v>1203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1">
        <f t="shared" ref="L33:Q33" si="4">SUM(L10:L32)</f>
        <v>7162040.6122744</v>
      </c>
      <c r="M33" s="91">
        <f t="shared" si="4"/>
        <v>8173594.3535888391</v>
      </c>
      <c r="N33" s="91">
        <f t="shared" si="4"/>
        <v>8173594.3535888391</v>
      </c>
      <c r="O33" s="91">
        <f t="shared" si="4"/>
        <v>7057233.9063972784</v>
      </c>
      <c r="P33" s="91">
        <f t="shared" si="4"/>
        <v>7372084.1982787605</v>
      </c>
      <c r="Q33" s="91">
        <f t="shared" si="4"/>
        <v>7707824.9872013032</v>
      </c>
    </row>
    <row r="34" spans="1:17" x14ac:dyDescent="0.25">
      <c r="C34" s="31"/>
    </row>
  </sheetData>
  <sortState xmlns:xlrd2="http://schemas.microsoft.com/office/spreadsheetml/2017/richdata2" ref="A2:Z26">
    <sortCondition ref="D2:D26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S58"/>
  <sheetViews>
    <sheetView zoomScale="110" zoomScaleNormal="110" workbookViewId="0">
      <pane ySplit="4" topLeftCell="A12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25" style="35" bestFit="1" customWidth="1"/>
    <col min="2" max="3" width="16.125" style="35" hidden="1" customWidth="1"/>
    <col min="4" max="4" width="47.375" style="35" customWidth="1"/>
    <col min="5" max="11" width="9.125" style="35" hidden="1" customWidth="1"/>
    <col min="12" max="12" width="13.25" style="35" bestFit="1" customWidth="1"/>
    <col min="13" max="13" width="12.625" style="35" bestFit="1" customWidth="1"/>
    <col min="14" max="17" width="12.625" style="171" customWidth="1"/>
    <col min="18" max="18" width="9.125" style="35"/>
    <col min="19" max="19" width="12.62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302</v>
      </c>
      <c r="B3" s="72"/>
      <c r="C3" s="72"/>
      <c r="D3" s="72"/>
    </row>
    <row r="4" spans="1:19" ht="84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5" t="s">
        <v>1608</v>
      </c>
    </row>
    <row r="6" spans="1:19" x14ac:dyDescent="0.25">
      <c r="A6" s="31" t="s">
        <v>1159</v>
      </c>
      <c r="B6" s="31" t="s">
        <v>290</v>
      </c>
      <c r="C6" s="31" t="s">
        <v>546</v>
      </c>
      <c r="D6" s="31" t="s">
        <v>1160</v>
      </c>
      <c r="E6" s="31" t="s">
        <v>301</v>
      </c>
      <c r="F6" s="31" t="s">
        <v>572</v>
      </c>
      <c r="G6" s="31" t="s">
        <v>16</v>
      </c>
      <c r="H6" s="31" t="s">
        <v>302</v>
      </c>
      <c r="I6" s="32" t="s">
        <v>18</v>
      </c>
      <c r="J6" s="32">
        <v>3</v>
      </c>
      <c r="K6" s="32"/>
      <c r="L6" s="34">
        <v>2732993</v>
      </c>
      <c r="M6" s="114">
        <v>2347662.42</v>
      </c>
      <c r="N6" s="114">
        <v>2347662.42</v>
      </c>
      <c r="O6" s="114">
        <v>3000000</v>
      </c>
      <c r="P6" s="114">
        <v>3000000</v>
      </c>
      <c r="Q6" s="114">
        <v>3100000</v>
      </c>
    </row>
    <row r="7" spans="1:19" x14ac:dyDescent="0.25">
      <c r="A7" s="31" t="s">
        <v>1165</v>
      </c>
      <c r="B7" s="31" t="s">
        <v>290</v>
      </c>
      <c r="C7" s="31" t="s">
        <v>546</v>
      </c>
      <c r="D7" s="31" t="s">
        <v>1160</v>
      </c>
      <c r="E7" s="31" t="s">
        <v>301</v>
      </c>
      <c r="F7" s="31" t="s">
        <v>574</v>
      </c>
      <c r="G7" s="31" t="s">
        <v>16</v>
      </c>
      <c r="H7" s="31" t="s">
        <v>302</v>
      </c>
      <c r="I7" s="32" t="s">
        <v>38</v>
      </c>
      <c r="J7" s="32">
        <v>1</v>
      </c>
      <c r="K7" s="32"/>
      <c r="L7" s="34">
        <v>3074616</v>
      </c>
      <c r="M7" s="114">
        <v>2963686</v>
      </c>
      <c r="N7" s="114">
        <v>2963686</v>
      </c>
      <c r="O7" s="114">
        <v>3000000</v>
      </c>
      <c r="P7" s="114">
        <v>3000000</v>
      </c>
      <c r="Q7" s="114">
        <v>3100000</v>
      </c>
    </row>
    <row r="8" spans="1:19" x14ac:dyDescent="0.25">
      <c r="A8" s="31" t="s">
        <v>1164</v>
      </c>
      <c r="B8" s="31" t="s">
        <v>290</v>
      </c>
      <c r="C8" s="31" t="s">
        <v>546</v>
      </c>
      <c r="D8" s="31" t="s">
        <v>1160</v>
      </c>
      <c r="E8" s="31" t="s">
        <v>301</v>
      </c>
      <c r="F8" s="31" t="s">
        <v>576</v>
      </c>
      <c r="G8" s="31" t="s">
        <v>16</v>
      </c>
      <c r="H8" s="31" t="s">
        <v>302</v>
      </c>
      <c r="I8" s="32" t="s">
        <v>38</v>
      </c>
      <c r="J8" s="32">
        <v>1</v>
      </c>
      <c r="K8" s="32"/>
      <c r="L8" s="34">
        <v>1110276</v>
      </c>
      <c r="M8" s="114">
        <v>1140896</v>
      </c>
      <c r="N8" s="114">
        <v>1140896</v>
      </c>
      <c r="O8" s="114">
        <v>1500000</v>
      </c>
      <c r="P8" s="114">
        <v>1500000</v>
      </c>
      <c r="Q8" s="114">
        <v>1600000</v>
      </c>
    </row>
    <row r="9" spans="1:19" x14ac:dyDescent="0.25">
      <c r="A9" s="31" t="s">
        <v>1163</v>
      </c>
      <c r="B9" s="31" t="s">
        <v>290</v>
      </c>
      <c r="C9" s="31" t="s">
        <v>546</v>
      </c>
      <c r="D9" s="31" t="s">
        <v>1160</v>
      </c>
      <c r="E9" s="31" t="s">
        <v>301</v>
      </c>
      <c r="F9" s="31" t="s">
        <v>570</v>
      </c>
      <c r="G9" s="31" t="s">
        <v>16</v>
      </c>
      <c r="H9" s="31" t="s">
        <v>302</v>
      </c>
      <c r="I9" s="32" t="s">
        <v>38</v>
      </c>
      <c r="J9" s="32">
        <v>1</v>
      </c>
      <c r="K9" s="32"/>
      <c r="L9" s="34">
        <v>512437</v>
      </c>
      <c r="M9" s="114">
        <v>442526</v>
      </c>
      <c r="N9" s="114">
        <v>442526</v>
      </c>
      <c r="O9" s="114">
        <v>600000</v>
      </c>
      <c r="P9" s="114">
        <v>600000</v>
      </c>
      <c r="Q9" s="114">
        <v>610000</v>
      </c>
    </row>
    <row r="10" spans="1:19" x14ac:dyDescent="0.25">
      <c r="A10" s="31" t="s">
        <v>1166</v>
      </c>
      <c r="B10" s="31" t="s">
        <v>290</v>
      </c>
      <c r="C10" s="31" t="s">
        <v>546</v>
      </c>
      <c r="D10" s="31" t="s">
        <v>1160</v>
      </c>
      <c r="E10" s="31" t="s">
        <v>301</v>
      </c>
      <c r="F10" s="31" t="s">
        <v>295</v>
      </c>
      <c r="G10" s="31" t="s">
        <v>16</v>
      </c>
      <c r="H10" s="31" t="s">
        <v>302</v>
      </c>
      <c r="I10" s="32" t="s">
        <v>38</v>
      </c>
      <c r="J10" s="32">
        <v>1</v>
      </c>
      <c r="K10" s="32"/>
      <c r="L10" s="34">
        <f>1110279.00320514+1580400</f>
        <v>2690679.0032051401</v>
      </c>
      <c r="M10" s="114">
        <v>1149458</v>
      </c>
      <c r="N10" s="114">
        <v>1149458</v>
      </c>
      <c r="O10" s="114">
        <v>3000000</v>
      </c>
      <c r="P10" s="114">
        <v>3000000</v>
      </c>
      <c r="Q10" s="114">
        <v>3100000</v>
      </c>
    </row>
    <row r="11" spans="1:19" x14ac:dyDescent="0.25">
      <c r="A11" s="31" t="s">
        <v>1161</v>
      </c>
      <c r="B11" s="31" t="s">
        <v>290</v>
      </c>
      <c r="C11" s="31" t="s">
        <v>486</v>
      </c>
      <c r="D11" s="31" t="s">
        <v>1619</v>
      </c>
      <c r="E11" s="31" t="s">
        <v>301</v>
      </c>
      <c r="F11" s="31" t="s">
        <v>292</v>
      </c>
      <c r="G11" s="31" t="s">
        <v>16</v>
      </c>
      <c r="H11" s="31" t="s">
        <v>302</v>
      </c>
      <c r="I11" s="32" t="s">
        <v>18</v>
      </c>
      <c r="J11" s="32">
        <v>3</v>
      </c>
      <c r="K11" s="32"/>
      <c r="L11" s="34">
        <v>100000</v>
      </c>
      <c r="M11" s="114">
        <v>98649.44</v>
      </c>
      <c r="N11" s="114">
        <v>98649.44</v>
      </c>
      <c r="O11" s="114">
        <v>100000</v>
      </c>
      <c r="P11" s="114">
        <v>100000</v>
      </c>
      <c r="Q11" s="114">
        <v>120000</v>
      </c>
    </row>
    <row r="12" spans="1:19" x14ac:dyDescent="0.25">
      <c r="A12" s="31"/>
      <c r="B12" s="31"/>
      <c r="C12" s="31"/>
      <c r="D12" s="31"/>
      <c r="E12" s="31"/>
      <c r="F12" s="31"/>
      <c r="G12" s="31"/>
      <c r="H12" s="31"/>
      <c r="I12" s="32"/>
      <c r="J12" s="32"/>
      <c r="K12" s="32"/>
      <c r="M12" s="107"/>
      <c r="N12" s="107"/>
      <c r="O12" s="107"/>
      <c r="P12" s="107"/>
      <c r="Q12" s="107"/>
    </row>
    <row r="13" spans="1:19" x14ac:dyDescent="0.25">
      <c r="A13" s="95" t="s">
        <v>1609</v>
      </c>
      <c r="B13" s="95"/>
      <c r="C13" s="95"/>
      <c r="D13" s="95"/>
      <c r="E13" s="95"/>
      <c r="F13" s="95"/>
      <c r="G13" s="95"/>
      <c r="H13" s="95"/>
      <c r="L13" s="97">
        <f t="shared" ref="L13:Q13" si="0">SUM(L6:L11)</f>
        <v>10221001.003205139</v>
      </c>
      <c r="M13" s="97">
        <f t="shared" si="0"/>
        <v>8142877.8600000003</v>
      </c>
      <c r="N13" s="97">
        <f t="shared" si="0"/>
        <v>8142877.8600000003</v>
      </c>
      <c r="O13" s="97">
        <f t="shared" si="0"/>
        <v>11200000</v>
      </c>
      <c r="P13" s="97">
        <f t="shared" si="0"/>
        <v>11200000</v>
      </c>
      <c r="Q13" s="97">
        <f t="shared" si="0"/>
        <v>11630000</v>
      </c>
    </row>
    <row r="14" spans="1:19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32"/>
      <c r="K14" s="32"/>
    </row>
    <row r="15" spans="1:19" x14ac:dyDescent="0.25">
      <c r="A15" s="31" t="s">
        <v>1154</v>
      </c>
      <c r="B15" s="31" t="s">
        <v>11</v>
      </c>
      <c r="C15" s="31" t="s">
        <v>12</v>
      </c>
      <c r="D15" s="31" t="s">
        <v>157</v>
      </c>
      <c r="E15" s="31" t="s">
        <v>301</v>
      </c>
      <c r="F15" s="31" t="s">
        <v>15</v>
      </c>
      <c r="G15" s="31" t="s">
        <v>16</v>
      </c>
      <c r="H15" s="31" t="s">
        <v>302</v>
      </c>
      <c r="I15" s="32" t="s">
        <v>18</v>
      </c>
      <c r="J15" s="32">
        <v>3</v>
      </c>
      <c r="K15" s="32"/>
      <c r="L15" s="34">
        <v>7026178.6282799961</v>
      </c>
      <c r="M15" s="34">
        <v>5399735.1600000001</v>
      </c>
      <c r="N15" s="34">
        <v>5399735.1600000001</v>
      </c>
      <c r="O15" s="34">
        <f>S15</f>
        <v>7263952.8567599999</v>
      </c>
      <c r="P15" s="34">
        <f>O15*1.044</f>
        <v>7583566.7824574402</v>
      </c>
      <c r="Q15" s="34">
        <f>P15*1.045</f>
        <v>7924827.2876680242</v>
      </c>
      <c r="S15" s="145">
        <f>'[1]6501REFU'!$E$42</f>
        <v>7263952.8567599999</v>
      </c>
    </row>
    <row r="16" spans="1:19" hidden="1" x14ac:dyDescent="0.25">
      <c r="A16" s="31" t="s">
        <v>1147</v>
      </c>
      <c r="B16" s="31" t="s">
        <v>11</v>
      </c>
      <c r="C16" s="31" t="s">
        <v>12</v>
      </c>
      <c r="D16" s="31" t="s">
        <v>86</v>
      </c>
      <c r="E16" s="31" t="s">
        <v>301</v>
      </c>
      <c r="F16" s="31" t="s">
        <v>37</v>
      </c>
      <c r="G16" s="31" t="s">
        <v>16</v>
      </c>
      <c r="H16" s="31" t="s">
        <v>302</v>
      </c>
      <c r="I16" s="32" t="s">
        <v>38</v>
      </c>
      <c r="J16" s="32">
        <v>1</v>
      </c>
      <c r="K16" s="32"/>
      <c r="L16" s="34"/>
      <c r="M16" s="34">
        <v>0</v>
      </c>
      <c r="N16" s="34">
        <v>0</v>
      </c>
      <c r="O16" s="34"/>
      <c r="P16" s="34"/>
      <c r="Q16" s="34"/>
      <c r="S16" s="145"/>
    </row>
    <row r="17" spans="1:19" x14ac:dyDescent="0.25">
      <c r="A17" s="31" t="s">
        <v>1146</v>
      </c>
      <c r="B17" s="31" t="s">
        <v>11</v>
      </c>
      <c r="C17" s="31" t="s">
        <v>12</v>
      </c>
      <c r="D17" s="31" t="s">
        <v>1630</v>
      </c>
      <c r="E17" s="31" t="s">
        <v>301</v>
      </c>
      <c r="F17" s="31" t="s">
        <v>15</v>
      </c>
      <c r="G17" s="31" t="s">
        <v>16</v>
      </c>
      <c r="H17" s="31" t="s">
        <v>302</v>
      </c>
      <c r="I17" s="32" t="s">
        <v>18</v>
      </c>
      <c r="J17" s="32">
        <v>3</v>
      </c>
      <c r="K17" s="32"/>
      <c r="L17" s="34">
        <v>300000</v>
      </c>
      <c r="M17" s="34">
        <v>450000</v>
      </c>
      <c r="N17" s="34">
        <v>450000</v>
      </c>
      <c r="O17" s="34">
        <v>460000</v>
      </c>
      <c r="P17" s="34">
        <v>470000</v>
      </c>
      <c r="Q17" s="34">
        <v>480000</v>
      </c>
      <c r="S17" s="145"/>
    </row>
    <row r="18" spans="1:19" x14ac:dyDescent="0.25">
      <c r="A18" s="31" t="s">
        <v>1148</v>
      </c>
      <c r="B18" s="31" t="s">
        <v>11</v>
      </c>
      <c r="C18" s="31" t="s">
        <v>12</v>
      </c>
      <c r="D18" s="31" t="s">
        <v>153</v>
      </c>
      <c r="E18" s="31" t="s">
        <v>301</v>
      </c>
      <c r="F18" s="31" t="s">
        <v>15</v>
      </c>
      <c r="G18" s="31" t="s">
        <v>16</v>
      </c>
      <c r="H18" s="31" t="s">
        <v>302</v>
      </c>
      <c r="I18" s="32" t="s">
        <v>18</v>
      </c>
      <c r="J18" s="32">
        <v>3</v>
      </c>
      <c r="K18" s="32"/>
      <c r="L18" s="34">
        <v>585514.88569000002</v>
      </c>
      <c r="M18" s="34">
        <v>431432.77999999991</v>
      </c>
      <c r="N18" s="34">
        <v>431432.77999999991</v>
      </c>
      <c r="O18" s="34">
        <f>S18</f>
        <v>605329.40472999983</v>
      </c>
      <c r="P18" s="34">
        <f>O18*1.044</f>
        <v>631963.89853811986</v>
      </c>
      <c r="Q18" s="34">
        <f>P18*1.045</f>
        <v>660402.27397233516</v>
      </c>
      <c r="S18" s="145">
        <f>'[1]6501REFU'!$I$42</f>
        <v>605329.40472999983</v>
      </c>
    </row>
    <row r="19" spans="1:19" x14ac:dyDescent="0.25">
      <c r="A19" s="31" t="s">
        <v>1149</v>
      </c>
      <c r="B19" s="31" t="s">
        <v>11</v>
      </c>
      <c r="C19" s="31" t="s">
        <v>12</v>
      </c>
      <c r="D19" s="31" t="s">
        <v>155</v>
      </c>
      <c r="E19" s="31" t="s">
        <v>301</v>
      </c>
      <c r="F19" s="31" t="s">
        <v>15</v>
      </c>
      <c r="G19" s="31" t="s">
        <v>16</v>
      </c>
      <c r="H19" s="31" t="s">
        <v>302</v>
      </c>
      <c r="I19" s="32" t="s">
        <v>18</v>
      </c>
      <c r="J19" s="32">
        <v>3</v>
      </c>
      <c r="K19" s="32"/>
      <c r="L19" s="34">
        <v>0</v>
      </c>
      <c r="M19" s="34">
        <v>0</v>
      </c>
      <c r="N19" s="34">
        <v>0</v>
      </c>
      <c r="O19" s="34">
        <f t="shared" ref="O19:O32" si="1">S19</f>
        <v>24967.35</v>
      </c>
      <c r="P19" s="34">
        <f t="shared" ref="P19:P32" si="2">O19*1.044</f>
        <v>26065.913399999998</v>
      </c>
      <c r="Q19" s="34">
        <f t="shared" ref="Q19:Q32" si="3">P19*1.045</f>
        <v>27238.879502999996</v>
      </c>
      <c r="S19" s="145">
        <f>'[2]6501REFU'!$J$42</f>
        <v>24967.35</v>
      </c>
    </row>
    <row r="20" spans="1:19" x14ac:dyDescent="0.25">
      <c r="A20" s="31" t="s">
        <v>1144</v>
      </c>
      <c r="B20" s="31" t="s">
        <v>11</v>
      </c>
      <c r="C20" s="31" t="s">
        <v>12</v>
      </c>
      <c r="D20" s="31" t="s">
        <v>41</v>
      </c>
      <c r="E20" s="31" t="s">
        <v>301</v>
      </c>
      <c r="F20" s="31" t="s">
        <v>15</v>
      </c>
      <c r="G20" s="31" t="s">
        <v>16</v>
      </c>
      <c r="H20" s="31" t="s">
        <v>302</v>
      </c>
      <c r="I20" s="32" t="s">
        <v>18</v>
      </c>
      <c r="J20" s="32">
        <v>3</v>
      </c>
      <c r="K20" s="32"/>
      <c r="L20" s="34">
        <v>1545759.2982216007</v>
      </c>
      <c r="M20" s="34">
        <v>1025807.4882000005</v>
      </c>
      <c r="N20" s="34">
        <v>1025807.4882000005</v>
      </c>
      <c r="O20" s="34">
        <f t="shared" si="1"/>
        <v>1598069.6284872</v>
      </c>
      <c r="P20" s="34">
        <f t="shared" si="2"/>
        <v>1668384.692140637</v>
      </c>
      <c r="Q20" s="34">
        <f t="shared" si="3"/>
        <v>1743462.0032869654</v>
      </c>
      <c r="S20" s="145">
        <f>'[1]6501REFU'!$K$42</f>
        <v>1598069.6284872</v>
      </c>
    </row>
    <row r="21" spans="1:19" x14ac:dyDescent="0.25">
      <c r="A21" s="31" t="s">
        <v>1143</v>
      </c>
      <c r="B21" s="31" t="s">
        <v>11</v>
      </c>
      <c r="C21" s="31" t="s">
        <v>12</v>
      </c>
      <c r="D21" s="31" t="s">
        <v>36</v>
      </c>
      <c r="E21" s="31" t="s">
        <v>301</v>
      </c>
      <c r="F21" s="31" t="s">
        <v>15</v>
      </c>
      <c r="G21" s="31" t="s">
        <v>16</v>
      </c>
      <c r="H21" s="31" t="s">
        <v>302</v>
      </c>
      <c r="I21" s="32" t="s">
        <v>18</v>
      </c>
      <c r="J21" s="32">
        <v>3</v>
      </c>
      <c r="K21" s="32"/>
      <c r="L21" s="34">
        <v>317671.2</v>
      </c>
      <c r="M21" s="34">
        <v>366235.19999999995</v>
      </c>
      <c r="N21" s="34">
        <v>366235.19999999995</v>
      </c>
      <c r="O21" s="34">
        <f t="shared" si="1"/>
        <v>323671.51999999996</v>
      </c>
      <c r="P21" s="34">
        <f t="shared" si="2"/>
        <v>337913.06688</v>
      </c>
      <c r="Q21" s="34">
        <f t="shared" si="3"/>
        <v>353119.1548896</v>
      </c>
      <c r="S21" s="145">
        <f>'[1]6501REFU'!$L$42</f>
        <v>323671.51999999996</v>
      </c>
    </row>
    <row r="22" spans="1:19" s="107" customFormat="1" x14ac:dyDescent="0.25">
      <c r="A22" s="52" t="s">
        <v>1153</v>
      </c>
      <c r="B22" s="52" t="s">
        <v>11</v>
      </c>
      <c r="C22" s="52" t="s">
        <v>12</v>
      </c>
      <c r="D22" s="52" t="s">
        <v>47</v>
      </c>
      <c r="E22" s="52" t="s">
        <v>301</v>
      </c>
      <c r="F22" s="52" t="s">
        <v>15</v>
      </c>
      <c r="G22" s="52" t="s">
        <v>16</v>
      </c>
      <c r="H22" s="52" t="s">
        <v>302</v>
      </c>
      <c r="I22" s="104" t="s">
        <v>18</v>
      </c>
      <c r="J22" s="104">
        <v>3</v>
      </c>
      <c r="K22" s="104"/>
      <c r="L22" s="34">
        <v>618119.36400000006</v>
      </c>
      <c r="M22" s="34">
        <v>536993.01</v>
      </c>
      <c r="N22" s="34">
        <v>536993.01</v>
      </c>
      <c r="O22" s="34">
        <f t="shared" si="1"/>
        <v>567539.92451999988</v>
      </c>
      <c r="P22" s="34">
        <f t="shared" si="2"/>
        <v>592511.68119887984</v>
      </c>
      <c r="Q22" s="34">
        <f t="shared" si="3"/>
        <v>619174.70685282943</v>
      </c>
      <c r="S22" s="145">
        <f>'[1]6501REFU'!$M$42</f>
        <v>567539.92451999988</v>
      </c>
    </row>
    <row r="23" spans="1:19" s="107" customFormat="1" x14ac:dyDescent="0.25">
      <c r="A23" s="52" t="s">
        <v>1169</v>
      </c>
      <c r="B23" s="52" t="s">
        <v>11</v>
      </c>
      <c r="C23" s="52" t="s">
        <v>12</v>
      </c>
      <c r="D23" s="52" t="s">
        <v>45</v>
      </c>
      <c r="E23" s="52" t="s">
        <v>301</v>
      </c>
      <c r="F23" s="52" t="s">
        <v>37</v>
      </c>
      <c r="G23" s="52" t="s">
        <v>16</v>
      </c>
      <c r="H23" s="52" t="s">
        <v>302</v>
      </c>
      <c r="I23" s="104" t="s">
        <v>38</v>
      </c>
      <c r="J23" s="104">
        <v>3</v>
      </c>
      <c r="K23" s="104"/>
      <c r="L23" s="34">
        <v>44273.279999999999</v>
      </c>
      <c r="M23" s="34">
        <v>32434.769999999997</v>
      </c>
      <c r="N23" s="34">
        <v>32434.769999999997</v>
      </c>
      <c r="O23" s="34">
        <f t="shared" si="1"/>
        <v>39954.941399999996</v>
      </c>
      <c r="P23" s="34">
        <f t="shared" si="2"/>
        <v>41712.958821599997</v>
      </c>
      <c r="Q23" s="34">
        <f t="shared" si="3"/>
        <v>43590.041968571997</v>
      </c>
      <c r="S23" s="145">
        <f>'[1]6501REFU'!$N$42</f>
        <v>39954.941399999996</v>
      </c>
    </row>
    <row r="24" spans="1:19" s="113" customFormat="1" hidden="1" x14ac:dyDescent="0.25">
      <c r="A24" s="111" t="s">
        <v>1151</v>
      </c>
      <c r="B24" s="111" t="s">
        <v>11</v>
      </c>
      <c r="C24" s="111" t="s">
        <v>12</v>
      </c>
      <c r="D24" s="111" t="s">
        <v>1631</v>
      </c>
      <c r="E24" s="111" t="s">
        <v>301</v>
      </c>
      <c r="F24" s="111" t="s">
        <v>15</v>
      </c>
      <c r="G24" s="111" t="s">
        <v>16</v>
      </c>
      <c r="H24" s="111" t="s">
        <v>302</v>
      </c>
      <c r="I24" s="112" t="s">
        <v>18</v>
      </c>
      <c r="J24" s="112">
        <v>3</v>
      </c>
      <c r="K24" s="112"/>
      <c r="L24" s="34">
        <v>0</v>
      </c>
      <c r="M24" s="34">
        <v>0</v>
      </c>
      <c r="N24" s="34">
        <v>0</v>
      </c>
      <c r="O24" s="34">
        <f t="shared" si="1"/>
        <v>0</v>
      </c>
      <c r="P24" s="34">
        <f t="shared" si="2"/>
        <v>0</v>
      </c>
      <c r="Q24" s="34">
        <f t="shared" si="3"/>
        <v>0</v>
      </c>
      <c r="S24" s="145"/>
    </row>
    <row r="25" spans="1:19" s="113" customFormat="1" hidden="1" x14ac:dyDescent="0.25">
      <c r="A25" s="111" t="s">
        <v>1152</v>
      </c>
      <c r="B25" s="111" t="s">
        <v>11</v>
      </c>
      <c r="C25" s="111" t="s">
        <v>12</v>
      </c>
      <c r="D25" s="111" t="s">
        <v>156</v>
      </c>
      <c r="E25" s="111" t="s">
        <v>301</v>
      </c>
      <c r="F25" s="111" t="s">
        <v>15</v>
      </c>
      <c r="G25" s="111" t="s">
        <v>16</v>
      </c>
      <c r="H25" s="111" t="s">
        <v>302</v>
      </c>
      <c r="I25" s="112" t="s">
        <v>18</v>
      </c>
      <c r="J25" s="112">
        <v>3</v>
      </c>
      <c r="K25" s="112"/>
      <c r="L25" s="34">
        <v>0</v>
      </c>
      <c r="M25" s="34">
        <v>0</v>
      </c>
      <c r="N25" s="34">
        <v>0</v>
      </c>
      <c r="O25" s="34">
        <f t="shared" si="1"/>
        <v>0</v>
      </c>
      <c r="P25" s="34">
        <f t="shared" si="2"/>
        <v>0</v>
      </c>
      <c r="Q25" s="34">
        <f t="shared" si="3"/>
        <v>0</v>
      </c>
      <c r="S25" s="145"/>
    </row>
    <row r="26" spans="1:19" s="113" customFormat="1" hidden="1" x14ac:dyDescent="0.25">
      <c r="A26" s="111" t="s">
        <v>1170</v>
      </c>
      <c r="B26" s="111" t="s">
        <v>11</v>
      </c>
      <c r="C26" s="111" t="s">
        <v>12</v>
      </c>
      <c r="D26" s="111" t="s">
        <v>151</v>
      </c>
      <c r="E26" s="111" t="s">
        <v>301</v>
      </c>
      <c r="F26" s="111" t="s">
        <v>37</v>
      </c>
      <c r="G26" s="111" t="s">
        <v>16</v>
      </c>
      <c r="H26" s="111" t="s">
        <v>302</v>
      </c>
      <c r="I26" s="112" t="s">
        <v>38</v>
      </c>
      <c r="J26" s="112">
        <v>1</v>
      </c>
      <c r="K26" s="112"/>
      <c r="L26" s="34">
        <v>0</v>
      </c>
      <c r="M26" s="34">
        <v>0</v>
      </c>
      <c r="N26" s="34">
        <v>0</v>
      </c>
      <c r="O26" s="34">
        <f t="shared" si="1"/>
        <v>0</v>
      </c>
      <c r="P26" s="34">
        <f t="shared" si="2"/>
        <v>0</v>
      </c>
      <c r="Q26" s="34">
        <f t="shared" si="3"/>
        <v>0</v>
      </c>
      <c r="S26" s="145"/>
    </row>
    <row r="27" spans="1:19" s="107" customFormat="1" x14ac:dyDescent="0.25">
      <c r="A27" s="52" t="s">
        <v>1162</v>
      </c>
      <c r="B27" s="52" t="s">
        <v>11</v>
      </c>
      <c r="C27" s="52" t="s">
        <v>12</v>
      </c>
      <c r="D27" s="52" t="s">
        <v>151</v>
      </c>
      <c r="E27" s="52" t="s">
        <v>301</v>
      </c>
      <c r="F27" s="52" t="s">
        <v>15</v>
      </c>
      <c r="G27" s="52" t="s">
        <v>16</v>
      </c>
      <c r="H27" s="52" t="s">
        <v>302</v>
      </c>
      <c r="I27" s="104" t="s">
        <v>18</v>
      </c>
      <c r="J27" s="104">
        <v>3</v>
      </c>
      <c r="K27" s="104"/>
      <c r="L27" s="34">
        <v>4514.4000000000033</v>
      </c>
      <c r="M27" s="34">
        <v>3357.7999999999997</v>
      </c>
      <c r="N27" s="34">
        <v>3357.7999999999997</v>
      </c>
      <c r="O27" s="34">
        <f t="shared" si="1"/>
        <v>4696.7999999999993</v>
      </c>
      <c r="P27" s="34">
        <f t="shared" si="2"/>
        <v>4903.4591999999993</v>
      </c>
      <c r="Q27" s="34">
        <f t="shared" si="3"/>
        <v>5124.1148639999992</v>
      </c>
      <c r="S27" s="145">
        <f>'[1]6501REFU'!$R$42</f>
        <v>4696.7999999999993</v>
      </c>
    </row>
    <row r="28" spans="1:19" s="107" customFormat="1" x14ac:dyDescent="0.25">
      <c r="A28" s="52" t="s">
        <v>1150</v>
      </c>
      <c r="B28" s="52" t="s">
        <v>11</v>
      </c>
      <c r="C28" s="52" t="s">
        <v>12</v>
      </c>
      <c r="D28" s="52" t="s">
        <v>193</v>
      </c>
      <c r="E28" s="52" t="s">
        <v>301</v>
      </c>
      <c r="F28" s="52" t="s">
        <v>15</v>
      </c>
      <c r="G28" s="52" t="s">
        <v>16</v>
      </c>
      <c r="H28" s="52" t="s">
        <v>302</v>
      </c>
      <c r="I28" s="104" t="s">
        <v>18</v>
      </c>
      <c r="J28" s="104">
        <v>3</v>
      </c>
      <c r="K28" s="104"/>
      <c r="L28" s="34">
        <v>43927.588319999995</v>
      </c>
      <c r="M28" s="34">
        <v>10468.92</v>
      </c>
      <c r="N28" s="34">
        <v>10468.92</v>
      </c>
      <c r="O28" s="34">
        <f t="shared" si="1"/>
        <v>41875.68</v>
      </c>
      <c r="P28" s="34">
        <f t="shared" si="2"/>
        <v>43718.209920000001</v>
      </c>
      <c r="Q28" s="34">
        <f t="shared" si="3"/>
        <v>45685.529366399998</v>
      </c>
      <c r="S28" s="145">
        <f>'[1]6501REFU'!$S$42</f>
        <v>41875.68</v>
      </c>
    </row>
    <row r="29" spans="1:19" x14ac:dyDescent="0.25">
      <c r="A29" s="31" t="s">
        <v>1145</v>
      </c>
      <c r="B29" s="31" t="s">
        <v>11</v>
      </c>
      <c r="C29" s="31" t="s">
        <v>12</v>
      </c>
      <c r="D29" s="31" t="s">
        <v>43</v>
      </c>
      <c r="E29" s="31" t="s">
        <v>301</v>
      </c>
      <c r="F29" s="31" t="s">
        <v>15</v>
      </c>
      <c r="G29" s="31" t="s">
        <v>16</v>
      </c>
      <c r="H29" s="31" t="s">
        <v>302</v>
      </c>
      <c r="I29" s="32" t="s">
        <v>18</v>
      </c>
      <c r="J29" s="32">
        <v>3</v>
      </c>
      <c r="K29" s="32"/>
      <c r="L29" s="34">
        <v>56104.171876799999</v>
      </c>
      <c r="M29" s="34">
        <v>54516.668842835177</v>
      </c>
      <c r="N29" s="34">
        <v>54516.668842835177</v>
      </c>
      <c r="O29" s="34">
        <f t="shared" si="1"/>
        <v>56874.066830400014</v>
      </c>
      <c r="P29" s="34">
        <f t="shared" si="2"/>
        <v>59376.525770937616</v>
      </c>
      <c r="Q29" s="34">
        <f t="shared" si="3"/>
        <v>62048.469430629804</v>
      </c>
      <c r="S29" s="145">
        <f>'[1]6501REFU'!$T$42</f>
        <v>56874.066830400014</v>
      </c>
    </row>
    <row r="30" spans="1:19" x14ac:dyDescent="0.25">
      <c r="A30" s="31" t="s">
        <v>1200</v>
      </c>
      <c r="B30" s="31" t="s">
        <v>162</v>
      </c>
      <c r="C30" s="31" t="s">
        <v>12</v>
      </c>
      <c r="D30" s="31" t="s">
        <v>162</v>
      </c>
      <c r="E30" s="31" t="s">
        <v>301</v>
      </c>
      <c r="L30" s="34">
        <v>166550.97247487996</v>
      </c>
      <c r="M30" s="34">
        <v>165049.11428351997</v>
      </c>
      <c r="N30" s="34">
        <v>165049.11428351997</v>
      </c>
      <c r="O30" s="34">
        <f t="shared" si="1"/>
        <v>139942.57999999999</v>
      </c>
      <c r="P30" s="34">
        <f t="shared" si="2"/>
        <v>146100.05351999999</v>
      </c>
      <c r="Q30" s="34">
        <f t="shared" si="3"/>
        <v>152674.55592839999</v>
      </c>
      <c r="S30" s="145">
        <f>'[1]6501REFU'!$F$42</f>
        <v>139942.57999999999</v>
      </c>
    </row>
    <row r="31" spans="1:19" x14ac:dyDescent="0.25">
      <c r="A31" s="31"/>
      <c r="B31" s="31"/>
      <c r="C31" s="31"/>
      <c r="D31" s="31"/>
      <c r="E31" s="31"/>
      <c r="M31" s="34"/>
      <c r="N31" s="34"/>
      <c r="O31" s="34"/>
      <c r="P31" s="34"/>
      <c r="Q31" s="34"/>
      <c r="S31" s="145"/>
    </row>
    <row r="32" spans="1:19" x14ac:dyDescent="0.25">
      <c r="A32" s="31" t="s">
        <v>1142</v>
      </c>
      <c r="B32" s="31" t="s">
        <v>11</v>
      </c>
      <c r="C32" s="31" t="s">
        <v>12</v>
      </c>
      <c r="D32" s="31" t="s">
        <v>30</v>
      </c>
      <c r="E32" s="31" t="s">
        <v>301</v>
      </c>
      <c r="F32" s="31" t="s">
        <v>15</v>
      </c>
      <c r="G32" s="31" t="s">
        <v>16</v>
      </c>
      <c r="H32" s="31" t="s">
        <v>302</v>
      </c>
      <c r="I32" s="32" t="s">
        <v>18</v>
      </c>
      <c r="J32" s="32">
        <v>3</v>
      </c>
      <c r="K32" s="32"/>
      <c r="L32" s="34">
        <v>70261.786282800007</v>
      </c>
      <c r="M32" s="34">
        <v>57762.893099999979</v>
      </c>
      <c r="N32" s="34">
        <v>57762.893099999979</v>
      </c>
      <c r="O32" s="34">
        <f t="shared" si="1"/>
        <v>72639.528567600006</v>
      </c>
      <c r="P32" s="34">
        <f t="shared" si="2"/>
        <v>75835.667824574411</v>
      </c>
      <c r="Q32" s="34">
        <f t="shared" si="3"/>
        <v>79248.272876680261</v>
      </c>
      <c r="S32" s="145">
        <f>'[1]6501REFU'!$Q$42</f>
        <v>72639.528567600006</v>
      </c>
    </row>
    <row r="33" spans="1:17" x14ac:dyDescent="0.25">
      <c r="A33" s="31" t="s">
        <v>1155</v>
      </c>
      <c r="B33" s="31" t="s">
        <v>11</v>
      </c>
      <c r="C33" s="31" t="s">
        <v>12</v>
      </c>
      <c r="D33" s="31" t="s">
        <v>1625</v>
      </c>
      <c r="E33" s="31" t="s">
        <v>301</v>
      </c>
      <c r="F33" s="31" t="s">
        <v>292</v>
      </c>
      <c r="G33" s="31" t="s">
        <v>16</v>
      </c>
      <c r="H33" s="31" t="s">
        <v>302</v>
      </c>
      <c r="I33" s="32" t="s">
        <v>18</v>
      </c>
      <c r="J33" s="32">
        <v>3</v>
      </c>
      <c r="K33" s="32"/>
      <c r="L33" s="43">
        <v>1000000</v>
      </c>
      <c r="M33" s="43">
        <v>800000</v>
      </c>
      <c r="N33" s="43">
        <v>800000</v>
      </c>
      <c r="O33" s="43">
        <v>850000</v>
      </c>
      <c r="P33" s="43">
        <v>860000</v>
      </c>
      <c r="Q33" s="43">
        <v>950000</v>
      </c>
    </row>
    <row r="34" spans="1:17" x14ac:dyDescent="0.25">
      <c r="A34" s="31" t="s">
        <v>1139</v>
      </c>
      <c r="B34" s="31" t="s">
        <v>11</v>
      </c>
      <c r="C34" s="31" t="s">
        <v>12</v>
      </c>
      <c r="D34" s="31" t="s">
        <v>20</v>
      </c>
      <c r="E34" s="31" t="s">
        <v>301</v>
      </c>
      <c r="F34" s="31" t="s">
        <v>15</v>
      </c>
      <c r="G34" s="31" t="s">
        <v>16</v>
      </c>
      <c r="H34" s="31" t="s">
        <v>302</v>
      </c>
      <c r="I34" s="32" t="s">
        <v>18</v>
      </c>
      <c r="J34" s="32">
        <v>3</v>
      </c>
      <c r="K34" s="32"/>
      <c r="L34" s="43">
        <v>5000</v>
      </c>
      <c r="M34" s="43">
        <v>5000</v>
      </c>
      <c r="N34" s="43">
        <v>5000</v>
      </c>
      <c r="O34" s="43">
        <v>5000</v>
      </c>
      <c r="P34" s="43">
        <v>5100</v>
      </c>
      <c r="Q34" s="43">
        <v>5200</v>
      </c>
    </row>
    <row r="35" spans="1:17" x14ac:dyDescent="0.25">
      <c r="A35" s="31" t="s">
        <v>1141</v>
      </c>
      <c r="B35" s="31" t="s">
        <v>11</v>
      </c>
      <c r="C35" s="31" t="s">
        <v>12</v>
      </c>
      <c r="D35" s="31" t="s">
        <v>24</v>
      </c>
      <c r="E35" s="31" t="s">
        <v>301</v>
      </c>
      <c r="F35" s="31" t="s">
        <v>15</v>
      </c>
      <c r="G35" s="31" t="s">
        <v>16</v>
      </c>
      <c r="H35" s="31" t="s">
        <v>302</v>
      </c>
      <c r="I35" s="32" t="s">
        <v>18</v>
      </c>
      <c r="J35" s="32">
        <v>3</v>
      </c>
      <c r="K35" s="32"/>
      <c r="L35" s="43">
        <v>1000</v>
      </c>
      <c r="M35" s="43">
        <v>1000</v>
      </c>
      <c r="N35" s="43">
        <v>1000</v>
      </c>
      <c r="O35" s="43">
        <v>1000</v>
      </c>
      <c r="P35" s="43">
        <v>1100</v>
      </c>
      <c r="Q35" s="43">
        <v>1200</v>
      </c>
    </row>
    <row r="36" spans="1:17" x14ac:dyDescent="0.25">
      <c r="A36" s="31" t="s">
        <v>1136</v>
      </c>
      <c r="B36" s="31" t="s">
        <v>11</v>
      </c>
      <c r="C36" s="31" t="s">
        <v>12</v>
      </c>
      <c r="D36" s="31" t="s">
        <v>28</v>
      </c>
      <c r="E36" s="31" t="s">
        <v>301</v>
      </c>
      <c r="F36" s="31" t="s">
        <v>15</v>
      </c>
      <c r="G36" s="31" t="s">
        <v>16</v>
      </c>
      <c r="H36" s="31" t="s">
        <v>302</v>
      </c>
      <c r="I36" s="32" t="s">
        <v>18</v>
      </c>
      <c r="J36" s="32">
        <v>3</v>
      </c>
      <c r="K36" s="32"/>
      <c r="L36" s="43">
        <v>50000</v>
      </c>
      <c r="M36" s="43">
        <v>50000</v>
      </c>
      <c r="N36" s="43">
        <v>50000</v>
      </c>
      <c r="O36" s="43">
        <v>55000</v>
      </c>
      <c r="P36" s="43">
        <v>60000</v>
      </c>
      <c r="Q36" s="43">
        <v>70000</v>
      </c>
    </row>
    <row r="37" spans="1:17" x14ac:dyDescent="0.25">
      <c r="A37" s="52" t="s">
        <v>2129</v>
      </c>
      <c r="B37" s="31" t="s">
        <v>1167</v>
      </c>
      <c r="C37" s="31" t="s">
        <v>12</v>
      </c>
      <c r="D37" s="31" t="s">
        <v>2337</v>
      </c>
      <c r="E37" s="31" t="s">
        <v>1168</v>
      </c>
      <c r="F37" s="31" t="s">
        <v>292</v>
      </c>
      <c r="G37" s="31" t="s">
        <v>16</v>
      </c>
      <c r="H37" s="31" t="s">
        <v>302</v>
      </c>
      <c r="I37" s="32" t="s">
        <v>18</v>
      </c>
      <c r="J37" s="32">
        <v>3</v>
      </c>
      <c r="K37" s="32"/>
      <c r="L37" s="43">
        <v>2000000</v>
      </c>
      <c r="M37" s="43">
        <v>1600000</v>
      </c>
      <c r="N37" s="43">
        <v>1600000</v>
      </c>
      <c r="O37" s="43">
        <v>2200000</v>
      </c>
      <c r="P37" s="43">
        <v>2500000</v>
      </c>
      <c r="Q37" s="43">
        <v>2600000</v>
      </c>
    </row>
    <row r="38" spans="1:17" x14ac:dyDescent="0.25">
      <c r="A38" s="31" t="s">
        <v>1138</v>
      </c>
      <c r="B38" s="31" t="s">
        <v>11</v>
      </c>
      <c r="C38" s="31" t="s">
        <v>12</v>
      </c>
      <c r="D38" s="31" t="s">
        <v>13</v>
      </c>
      <c r="E38" s="31" t="s">
        <v>301</v>
      </c>
      <c r="F38" s="31" t="s">
        <v>15</v>
      </c>
      <c r="G38" s="31" t="s">
        <v>16</v>
      </c>
      <c r="H38" s="31" t="s">
        <v>302</v>
      </c>
      <c r="I38" s="32" t="s">
        <v>18</v>
      </c>
      <c r="J38" s="32">
        <v>3</v>
      </c>
      <c r="K38" s="32"/>
      <c r="L38" s="43">
        <v>30000</v>
      </c>
      <c r="M38" s="43">
        <v>20000</v>
      </c>
      <c r="N38" s="43">
        <v>20000</v>
      </c>
      <c r="O38" s="43">
        <v>30000</v>
      </c>
      <c r="P38" s="43">
        <v>30000</v>
      </c>
      <c r="Q38" s="43">
        <v>30000</v>
      </c>
    </row>
    <row r="39" spans="1:17" x14ac:dyDescent="0.25">
      <c r="A39" s="31" t="s">
        <v>1137</v>
      </c>
      <c r="B39" s="31" t="s">
        <v>11</v>
      </c>
      <c r="C39" s="31" t="s">
        <v>12</v>
      </c>
      <c r="D39" s="31" t="s">
        <v>32</v>
      </c>
      <c r="E39" s="31" t="s">
        <v>301</v>
      </c>
      <c r="F39" s="31" t="s">
        <v>15</v>
      </c>
      <c r="G39" s="31" t="s">
        <v>16</v>
      </c>
      <c r="H39" s="31" t="s">
        <v>302</v>
      </c>
      <c r="I39" s="32" t="s">
        <v>18</v>
      </c>
      <c r="J39" s="32">
        <v>3</v>
      </c>
      <c r="K39" s="32"/>
      <c r="L39" s="43">
        <v>1000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</row>
    <row r="40" spans="1:17" x14ac:dyDescent="0.25">
      <c r="A40" s="31" t="s">
        <v>1135</v>
      </c>
      <c r="B40" s="31" t="s">
        <v>11</v>
      </c>
      <c r="C40" s="31" t="s">
        <v>12</v>
      </c>
      <c r="D40" s="31" t="s">
        <v>26</v>
      </c>
      <c r="E40" s="31" t="s">
        <v>301</v>
      </c>
      <c r="F40" s="31" t="s">
        <v>15</v>
      </c>
      <c r="G40" s="31" t="s">
        <v>16</v>
      </c>
      <c r="H40" s="31" t="s">
        <v>302</v>
      </c>
      <c r="I40" s="32" t="s">
        <v>18</v>
      </c>
      <c r="J40" s="32">
        <v>3</v>
      </c>
      <c r="K40" s="32"/>
      <c r="L40" s="43">
        <v>1000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</row>
    <row r="41" spans="1:17" x14ac:dyDescent="0.25">
      <c r="A41" s="31" t="s">
        <v>1140</v>
      </c>
      <c r="B41" s="31" t="s">
        <v>11</v>
      </c>
      <c r="C41" s="31" t="s">
        <v>12</v>
      </c>
      <c r="D41" s="31" t="s">
        <v>22</v>
      </c>
      <c r="E41" s="31" t="s">
        <v>301</v>
      </c>
      <c r="F41" s="31" t="s">
        <v>15</v>
      </c>
      <c r="G41" s="31" t="s">
        <v>16</v>
      </c>
      <c r="H41" s="31" t="s">
        <v>302</v>
      </c>
      <c r="I41" s="32" t="s">
        <v>18</v>
      </c>
      <c r="J41" s="32">
        <v>3</v>
      </c>
      <c r="K41" s="32"/>
      <c r="L41" s="43">
        <v>4000</v>
      </c>
      <c r="M41" s="43">
        <v>8000</v>
      </c>
      <c r="N41" s="43">
        <v>8000</v>
      </c>
      <c r="O41" s="43">
        <v>10000</v>
      </c>
      <c r="P41" s="43">
        <v>11000</v>
      </c>
      <c r="Q41" s="43">
        <v>12000</v>
      </c>
    </row>
    <row r="42" spans="1:17" x14ac:dyDescent="0.25">
      <c r="M42" s="131"/>
      <c r="N42" s="170"/>
      <c r="O42" s="170"/>
      <c r="P42" s="170"/>
      <c r="Q42" s="170"/>
    </row>
    <row r="43" spans="1:17" x14ac:dyDescent="0.25">
      <c r="A43" s="71" t="s">
        <v>1156</v>
      </c>
      <c r="B43" s="31" t="s">
        <v>1157</v>
      </c>
      <c r="C43" s="31" t="s">
        <v>347</v>
      </c>
      <c r="D43" s="31" t="s">
        <v>1626</v>
      </c>
      <c r="E43" s="31" t="s">
        <v>301</v>
      </c>
      <c r="F43" s="31" t="s">
        <v>292</v>
      </c>
      <c r="G43" s="31" t="s">
        <v>16</v>
      </c>
      <c r="H43" s="31" t="s">
        <v>302</v>
      </c>
      <c r="I43" s="32" t="s">
        <v>18</v>
      </c>
      <c r="J43" s="32">
        <v>3</v>
      </c>
      <c r="K43" s="32"/>
      <c r="L43" s="43">
        <v>500000</v>
      </c>
      <c r="M43" s="43">
        <v>200000</v>
      </c>
      <c r="N43" s="43">
        <v>200000</v>
      </c>
      <c r="O43" s="43">
        <v>200000</v>
      </c>
      <c r="P43" s="43">
        <v>210000</v>
      </c>
      <c r="Q43" s="43">
        <v>220000</v>
      </c>
    </row>
    <row r="45" spans="1:17" x14ac:dyDescent="0.25">
      <c r="A45" s="71" t="s">
        <v>2018</v>
      </c>
      <c r="B45" s="31" t="s">
        <v>1158</v>
      </c>
      <c r="C45" s="31" t="s">
        <v>12</v>
      </c>
      <c r="D45" s="31" t="s">
        <v>1624</v>
      </c>
      <c r="E45" s="31" t="s">
        <v>301</v>
      </c>
      <c r="F45" s="31" t="s">
        <v>292</v>
      </c>
      <c r="G45" s="31" t="s">
        <v>16</v>
      </c>
      <c r="H45" s="31" t="s">
        <v>302</v>
      </c>
      <c r="I45" s="32" t="s">
        <v>18</v>
      </c>
      <c r="J45" s="32">
        <v>3</v>
      </c>
      <c r="K45" s="32"/>
      <c r="L45" s="43">
        <v>200000</v>
      </c>
      <c r="M45" s="43">
        <v>210000</v>
      </c>
      <c r="N45" s="43">
        <v>210000</v>
      </c>
      <c r="O45" s="43">
        <v>250000</v>
      </c>
      <c r="P45" s="43">
        <v>200000</v>
      </c>
      <c r="Q45" s="43">
        <v>200000</v>
      </c>
    </row>
    <row r="46" spans="1:17" x14ac:dyDescent="0.25">
      <c r="M46" s="37"/>
      <c r="N46" s="37"/>
      <c r="O46" s="37"/>
      <c r="P46" s="37"/>
      <c r="Q46" s="37"/>
    </row>
    <row r="47" spans="1:17" x14ac:dyDescent="0.25">
      <c r="M47" s="37"/>
      <c r="N47" s="37"/>
      <c r="O47" s="37"/>
      <c r="P47" s="37"/>
      <c r="Q47" s="37"/>
    </row>
    <row r="48" spans="1:17" ht="15.75" thickBot="1" x14ac:dyDescent="0.3">
      <c r="A48" s="93" t="s">
        <v>1203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1">
        <f>SUM(L15:L47)</f>
        <v>14570875.575146075</v>
      </c>
      <c r="M48" s="91">
        <f t="shared" ref="M48:Q48" si="4">SUM(M15:M47)</f>
        <v>11427793.804426355</v>
      </c>
      <c r="N48" s="91">
        <f t="shared" si="4"/>
        <v>11427793.804426355</v>
      </c>
      <c r="O48" s="91">
        <f t="shared" si="4"/>
        <v>14800514.281295201</v>
      </c>
      <c r="P48" s="91">
        <f t="shared" si="4"/>
        <v>15559252.90967219</v>
      </c>
      <c r="Q48" s="91">
        <f t="shared" si="4"/>
        <v>16284995.290607434</v>
      </c>
    </row>
    <row r="49" spans="13:17" x14ac:dyDescent="0.25">
      <c r="M49" s="37"/>
      <c r="N49" s="37"/>
      <c r="O49" s="37"/>
      <c r="P49" s="37"/>
      <c r="Q49" s="37"/>
    </row>
    <row r="50" spans="13:17" x14ac:dyDescent="0.25">
      <c r="M50" s="37"/>
      <c r="N50" s="37"/>
      <c r="O50" s="37"/>
      <c r="P50" s="37"/>
      <c r="Q50" s="37"/>
    </row>
    <row r="51" spans="13:17" x14ac:dyDescent="0.25">
      <c r="M51" s="37"/>
      <c r="N51" s="37"/>
      <c r="O51" s="37"/>
      <c r="P51" s="37"/>
      <c r="Q51" s="37"/>
    </row>
    <row r="52" spans="13:17" x14ac:dyDescent="0.25">
      <c r="M52" s="37"/>
      <c r="N52" s="37"/>
      <c r="O52" s="37"/>
      <c r="P52" s="37"/>
      <c r="Q52" s="37"/>
    </row>
    <row r="53" spans="13:17" x14ac:dyDescent="0.25">
      <c r="M53" s="37"/>
      <c r="N53" s="37"/>
      <c r="O53" s="37"/>
      <c r="P53" s="37"/>
      <c r="Q53" s="37"/>
    </row>
    <row r="54" spans="13:17" x14ac:dyDescent="0.25">
      <c r="M54" s="37"/>
      <c r="N54" s="37"/>
      <c r="O54" s="37"/>
      <c r="P54" s="37"/>
      <c r="Q54" s="37"/>
    </row>
    <row r="55" spans="13:17" x14ac:dyDescent="0.25">
      <c r="M55" s="37"/>
      <c r="N55" s="37"/>
      <c r="O55" s="37"/>
      <c r="P55" s="37"/>
      <c r="Q55" s="37"/>
    </row>
    <row r="56" spans="13:17" x14ac:dyDescent="0.25">
      <c r="M56" s="37"/>
      <c r="N56" s="37"/>
      <c r="O56" s="37"/>
      <c r="P56" s="37"/>
      <c r="Q56" s="37"/>
    </row>
    <row r="57" spans="13:17" x14ac:dyDescent="0.25">
      <c r="M57" s="37"/>
      <c r="N57" s="37"/>
      <c r="O57" s="37"/>
      <c r="P57" s="37"/>
      <c r="Q57" s="37"/>
    </row>
    <row r="58" spans="13:17" x14ac:dyDescent="0.25">
      <c r="M58" s="37"/>
      <c r="N58" s="37"/>
      <c r="O58" s="37"/>
      <c r="P58" s="37"/>
      <c r="Q58" s="37"/>
    </row>
  </sheetData>
  <sortState xmlns:xlrd2="http://schemas.microsoft.com/office/spreadsheetml/2017/richdata2" ref="A2:Z39">
    <sortCondition ref="D2:D39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V38"/>
  <sheetViews>
    <sheetView zoomScale="110" zoomScaleNormal="110" workbookViewId="0">
      <pane ySplit="4" topLeftCell="A7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78" bestFit="1" customWidth="1"/>
    <col min="2" max="3" width="0" style="78" hidden="1" customWidth="1"/>
    <col min="4" max="4" width="28" style="78" bestFit="1" customWidth="1"/>
    <col min="5" max="11" width="9.125" style="78" hidden="1" customWidth="1"/>
    <col min="12" max="13" width="13.75" style="78" bestFit="1" customWidth="1"/>
    <col min="14" max="17" width="13.75" style="134" customWidth="1"/>
    <col min="18" max="18" width="9.125" style="78"/>
    <col min="19" max="19" width="12.625" style="79" bestFit="1" customWidth="1"/>
    <col min="20" max="16384" width="9.125" style="78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72"/>
      <c r="C2" s="72"/>
      <c r="D2" s="72"/>
    </row>
    <row r="3" spans="1:19" ht="15.75" x14ac:dyDescent="0.25">
      <c r="A3" s="72" t="s">
        <v>994</v>
      </c>
      <c r="B3" s="72"/>
      <c r="C3" s="72"/>
      <c r="D3" s="72"/>
    </row>
    <row r="4" spans="1:19" ht="59.25" customHeight="1" x14ac:dyDescent="0.25">
      <c r="A4" s="78" t="s">
        <v>1202</v>
      </c>
      <c r="B4" s="78" t="s">
        <v>0</v>
      </c>
      <c r="C4" s="78" t="s">
        <v>1</v>
      </c>
      <c r="D4" s="78" t="s">
        <v>2</v>
      </c>
      <c r="E4" s="78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s="134" customFormat="1" ht="15.75" thickBot="1" x14ac:dyDescent="0.3">
      <c r="A5" s="133"/>
      <c r="B5" s="133"/>
      <c r="C5" s="133"/>
      <c r="D5" s="35" t="s">
        <v>1608</v>
      </c>
      <c r="E5" s="133"/>
      <c r="F5" s="133"/>
      <c r="G5" s="133"/>
      <c r="H5" s="133"/>
      <c r="I5" s="82"/>
      <c r="J5" s="82"/>
      <c r="K5" s="82"/>
      <c r="L5" s="83"/>
      <c r="M5" s="83"/>
      <c r="N5" s="83"/>
      <c r="O5" s="83"/>
      <c r="P5" s="83"/>
      <c r="Q5" s="83"/>
      <c r="S5" s="79"/>
    </row>
    <row r="6" spans="1:19" s="107" customFormat="1" ht="15.75" thickBot="1" x14ac:dyDescent="0.3">
      <c r="A6" s="153" t="s">
        <v>2158</v>
      </c>
      <c r="B6" s="52"/>
      <c r="C6" s="52"/>
      <c r="D6" s="52" t="s">
        <v>2135</v>
      </c>
      <c r="E6" s="52"/>
      <c r="F6" s="52"/>
      <c r="G6" s="52"/>
      <c r="H6" s="52"/>
      <c r="I6" s="104"/>
      <c r="J6" s="104"/>
      <c r="K6" s="104"/>
      <c r="L6" s="105">
        <v>396000</v>
      </c>
      <c r="M6" s="105">
        <v>150000</v>
      </c>
      <c r="N6" s="105">
        <v>150000</v>
      </c>
      <c r="O6" s="105">
        <v>150000</v>
      </c>
      <c r="P6" s="105">
        <v>160000</v>
      </c>
      <c r="Q6" s="105">
        <v>170000</v>
      </c>
      <c r="S6" s="106"/>
    </row>
    <row r="7" spans="1:19" s="134" customFormat="1" x14ac:dyDescent="0.25">
      <c r="A7" s="133"/>
      <c r="B7" s="133"/>
      <c r="C7" s="133"/>
      <c r="D7" s="133"/>
      <c r="E7" s="133"/>
      <c r="F7" s="133"/>
      <c r="G7" s="133"/>
      <c r="H7" s="133"/>
      <c r="I7" s="82"/>
      <c r="J7" s="82"/>
      <c r="K7" s="82"/>
      <c r="L7" s="83"/>
      <c r="M7" s="83"/>
      <c r="N7" s="83"/>
      <c r="O7" s="83"/>
      <c r="P7" s="83"/>
      <c r="Q7" s="83"/>
      <c r="S7" s="79"/>
    </row>
    <row r="8" spans="1:19" s="134" customFormat="1" x14ac:dyDescent="0.25">
      <c r="A8" s="133"/>
      <c r="B8" s="133"/>
      <c r="C8" s="133"/>
      <c r="D8" s="95" t="s">
        <v>1609</v>
      </c>
      <c r="E8" s="133"/>
      <c r="F8" s="133"/>
      <c r="G8" s="133"/>
      <c r="H8" s="133"/>
      <c r="I8" s="82"/>
      <c r="J8" s="82"/>
      <c r="K8" s="82"/>
      <c r="L8" s="75">
        <f t="shared" ref="L8:Q8" si="0">L6</f>
        <v>396000</v>
      </c>
      <c r="M8" s="75">
        <f t="shared" si="0"/>
        <v>150000</v>
      </c>
      <c r="N8" s="75">
        <f t="shared" si="0"/>
        <v>150000</v>
      </c>
      <c r="O8" s="75">
        <f t="shared" si="0"/>
        <v>150000</v>
      </c>
      <c r="P8" s="75">
        <f t="shared" si="0"/>
        <v>160000</v>
      </c>
      <c r="Q8" s="75">
        <f t="shared" si="0"/>
        <v>170000</v>
      </c>
      <c r="S8" s="79"/>
    </row>
    <row r="9" spans="1:19" s="134" customFormat="1" x14ac:dyDescent="0.25">
      <c r="A9" s="133"/>
      <c r="B9" s="133"/>
      <c r="C9" s="133"/>
      <c r="D9" s="133"/>
      <c r="E9" s="133"/>
      <c r="F9" s="133"/>
      <c r="G9" s="133"/>
      <c r="H9" s="133"/>
      <c r="I9" s="82"/>
      <c r="J9" s="82"/>
      <c r="K9" s="82"/>
      <c r="L9" s="83"/>
      <c r="M9" s="83"/>
      <c r="N9" s="83"/>
      <c r="O9" s="83"/>
      <c r="P9" s="83"/>
      <c r="Q9" s="83"/>
      <c r="S9" s="79"/>
    </row>
    <row r="10" spans="1:19" x14ac:dyDescent="0.25">
      <c r="A10" s="77" t="s">
        <v>1015</v>
      </c>
      <c r="B10" s="77" t="s">
        <v>11</v>
      </c>
      <c r="C10" s="77" t="s">
        <v>12</v>
      </c>
      <c r="D10" s="77" t="s">
        <v>157</v>
      </c>
      <c r="E10" s="77" t="s">
        <v>126</v>
      </c>
      <c r="F10" s="77" t="s">
        <v>15</v>
      </c>
      <c r="G10" s="77" t="s">
        <v>16</v>
      </c>
      <c r="H10" s="77" t="s">
        <v>994</v>
      </c>
      <c r="I10" s="82" t="s">
        <v>18</v>
      </c>
      <c r="J10" s="82">
        <v>3</v>
      </c>
      <c r="K10" s="82"/>
      <c r="L10" s="83">
        <v>5893180.4567999989</v>
      </c>
      <c r="M10" s="83">
        <v>5765739.1799999997</v>
      </c>
      <c r="N10" s="83">
        <v>5765739.1799999997</v>
      </c>
      <c r="O10" s="83">
        <f>S10</f>
        <v>6626527.8808800001</v>
      </c>
      <c r="P10" s="83">
        <f>O10*1.044</f>
        <v>6918095.1076387204</v>
      </c>
      <c r="Q10" s="83">
        <f>P10*1.045</f>
        <v>7229409.3874824625</v>
      </c>
      <c r="S10" s="145">
        <f>'[1]6601ROAD'!$E$36</f>
        <v>6626527.8808800001</v>
      </c>
    </row>
    <row r="11" spans="1:19" s="107" customFormat="1" x14ac:dyDescent="0.25">
      <c r="A11" s="52" t="s">
        <v>1008</v>
      </c>
      <c r="B11" s="52" t="s">
        <v>11</v>
      </c>
      <c r="C11" s="52" t="s">
        <v>12</v>
      </c>
      <c r="D11" s="52" t="s">
        <v>1630</v>
      </c>
      <c r="E11" s="52" t="s">
        <v>126</v>
      </c>
      <c r="F11" s="52" t="s">
        <v>15</v>
      </c>
      <c r="G11" s="52" t="s">
        <v>16</v>
      </c>
      <c r="H11" s="52" t="s">
        <v>994</v>
      </c>
      <c r="I11" s="104" t="s">
        <v>18</v>
      </c>
      <c r="J11" s="104">
        <v>3</v>
      </c>
      <c r="K11" s="104"/>
      <c r="L11" s="114">
        <v>400000</v>
      </c>
      <c r="M11" s="83">
        <v>450000</v>
      </c>
      <c r="N11" s="83">
        <v>450000</v>
      </c>
      <c r="O11" s="83">
        <v>460000</v>
      </c>
      <c r="P11" s="83">
        <f>O11*1.044</f>
        <v>480240</v>
      </c>
      <c r="Q11" s="83">
        <f>P11*1.045</f>
        <v>501850.8</v>
      </c>
      <c r="S11" s="145"/>
    </row>
    <row r="12" spans="1:19" x14ac:dyDescent="0.25">
      <c r="A12" s="77" t="s">
        <v>1011</v>
      </c>
      <c r="B12" s="77" t="s">
        <v>11</v>
      </c>
      <c r="C12" s="77" t="s">
        <v>12</v>
      </c>
      <c r="D12" s="77" t="s">
        <v>153</v>
      </c>
      <c r="E12" s="77" t="s">
        <v>126</v>
      </c>
      <c r="F12" s="77" t="s">
        <v>15</v>
      </c>
      <c r="G12" s="77" t="s">
        <v>16</v>
      </c>
      <c r="H12" s="77" t="s">
        <v>994</v>
      </c>
      <c r="I12" s="82" t="s">
        <v>18</v>
      </c>
      <c r="J12" s="82">
        <v>3</v>
      </c>
      <c r="K12" s="82"/>
      <c r="L12" s="83">
        <v>491098.3714</v>
      </c>
      <c r="M12" s="83">
        <v>502256.31999999995</v>
      </c>
      <c r="N12" s="83">
        <v>502256.31999999995</v>
      </c>
      <c r="O12" s="83">
        <f>S12</f>
        <v>552210.65673999989</v>
      </c>
      <c r="P12" s="83">
        <f>O12*1.044</f>
        <v>576507.92563655996</v>
      </c>
      <c r="Q12" s="83">
        <f>P12*1.045</f>
        <v>602450.78229020513</v>
      </c>
      <c r="S12" s="145">
        <f>'[1]6601ROAD'!$I$36</f>
        <v>552210.65673999989</v>
      </c>
    </row>
    <row r="13" spans="1:19" x14ac:dyDescent="0.25">
      <c r="A13" s="77" t="s">
        <v>1006</v>
      </c>
      <c r="B13" s="77" t="s">
        <v>11</v>
      </c>
      <c r="C13" s="77" t="s">
        <v>12</v>
      </c>
      <c r="D13" s="77" t="s">
        <v>41</v>
      </c>
      <c r="E13" s="77" t="s">
        <v>126</v>
      </c>
      <c r="F13" s="77" t="s">
        <v>15</v>
      </c>
      <c r="G13" s="77" t="s">
        <v>16</v>
      </c>
      <c r="H13" s="77" t="s">
        <v>994</v>
      </c>
      <c r="I13" s="82" t="s">
        <v>18</v>
      </c>
      <c r="J13" s="82">
        <v>3</v>
      </c>
      <c r="K13" s="82"/>
      <c r="L13" s="83">
        <v>1296499.7004959998</v>
      </c>
      <c r="M13" s="83">
        <v>1134199.0482000001</v>
      </c>
      <c r="N13" s="83">
        <v>1134199.0482000001</v>
      </c>
      <c r="O13" s="83">
        <f t="shared" ref="O13:O26" si="1">S13</f>
        <v>1457836.1337935994</v>
      </c>
      <c r="P13" s="83">
        <f>O13*1.044</f>
        <v>1521980.9236805178</v>
      </c>
      <c r="Q13" s="83">
        <f t="shared" ref="Q13:Q26" si="2">P13*1.045</f>
        <v>1590470.0652461411</v>
      </c>
      <c r="S13" s="145">
        <f>'[1]6601ROAD'!$K$36</f>
        <v>1457836.1337935994</v>
      </c>
    </row>
    <row r="14" spans="1:19" x14ac:dyDescent="0.25">
      <c r="A14" s="77" t="s">
        <v>1005</v>
      </c>
      <c r="B14" s="77" t="s">
        <v>11</v>
      </c>
      <c r="C14" s="77" t="s">
        <v>12</v>
      </c>
      <c r="D14" s="77" t="s">
        <v>36</v>
      </c>
      <c r="E14" s="77" t="s">
        <v>126</v>
      </c>
      <c r="F14" s="77" t="s">
        <v>15</v>
      </c>
      <c r="G14" s="77" t="s">
        <v>16</v>
      </c>
      <c r="H14" s="77" t="s">
        <v>994</v>
      </c>
      <c r="I14" s="82" t="s">
        <v>18</v>
      </c>
      <c r="J14" s="82">
        <v>3</v>
      </c>
      <c r="K14" s="82"/>
      <c r="L14" s="83">
        <v>269834.40000000002</v>
      </c>
      <c r="M14" s="83">
        <v>366991.19999999995</v>
      </c>
      <c r="N14" s="83">
        <v>366991.19999999995</v>
      </c>
      <c r="O14" s="83">
        <f t="shared" si="1"/>
        <v>350747.99999999994</v>
      </c>
      <c r="P14" s="83">
        <f t="shared" ref="P14:P26" si="3">O14*1.044</f>
        <v>366180.91199999995</v>
      </c>
      <c r="Q14" s="83">
        <f t="shared" si="2"/>
        <v>382659.05303999991</v>
      </c>
      <c r="S14" s="145">
        <f>'[1]6601ROAD'!$L$36</f>
        <v>350747.99999999994</v>
      </c>
    </row>
    <row r="15" spans="1:19" x14ac:dyDescent="0.25">
      <c r="A15" s="77" t="s">
        <v>1014</v>
      </c>
      <c r="B15" s="77" t="s">
        <v>11</v>
      </c>
      <c r="C15" s="77" t="s">
        <v>12</v>
      </c>
      <c r="D15" s="77" t="s">
        <v>47</v>
      </c>
      <c r="E15" s="77" t="s">
        <v>126</v>
      </c>
      <c r="F15" s="77" t="s">
        <v>15</v>
      </c>
      <c r="G15" s="77" t="s">
        <v>16</v>
      </c>
      <c r="H15" s="77" t="s">
        <v>994</v>
      </c>
      <c r="I15" s="82" t="s">
        <v>18</v>
      </c>
      <c r="J15" s="82">
        <v>3</v>
      </c>
      <c r="K15" s="82"/>
      <c r="L15" s="83">
        <v>391187.88</v>
      </c>
      <c r="M15" s="83">
        <v>464038.89</v>
      </c>
      <c r="N15" s="83">
        <v>464038.89</v>
      </c>
      <c r="O15" s="83">
        <f t="shared" si="1"/>
        <v>424718.61647999997</v>
      </c>
      <c r="P15" s="83">
        <f t="shared" si="3"/>
        <v>443406.23560511996</v>
      </c>
      <c r="Q15" s="83">
        <f t="shared" si="2"/>
        <v>463359.5162073503</v>
      </c>
      <c r="S15" s="145">
        <f>'[1]6601ROAD'!$M$36</f>
        <v>424718.61647999997</v>
      </c>
    </row>
    <row r="16" spans="1:19" x14ac:dyDescent="0.25">
      <c r="A16" s="77" t="s">
        <v>1017</v>
      </c>
      <c r="B16" s="77" t="s">
        <v>11</v>
      </c>
      <c r="C16" s="77" t="s">
        <v>12</v>
      </c>
      <c r="D16" s="77" t="s">
        <v>45</v>
      </c>
      <c r="E16" s="77" t="s">
        <v>126</v>
      </c>
      <c r="F16" s="77" t="s">
        <v>37</v>
      </c>
      <c r="G16" s="77" t="s">
        <v>16</v>
      </c>
      <c r="H16" s="77" t="s">
        <v>994</v>
      </c>
      <c r="I16" s="82" t="s">
        <v>38</v>
      </c>
      <c r="J16" s="82">
        <v>3</v>
      </c>
      <c r="K16" s="82"/>
      <c r="L16" s="83">
        <v>21726</v>
      </c>
      <c r="M16" s="83">
        <v>34872.929999999993</v>
      </c>
      <c r="N16" s="83">
        <v>34872.929999999993</v>
      </c>
      <c r="O16" s="83">
        <f t="shared" si="1"/>
        <v>33991.62816</v>
      </c>
      <c r="P16" s="83">
        <f t="shared" si="3"/>
        <v>35487.259799040003</v>
      </c>
      <c r="Q16" s="83">
        <f t="shared" si="2"/>
        <v>37084.186489996799</v>
      </c>
      <c r="S16" s="145">
        <f>'[1]6601ROAD'!$N$36</f>
        <v>33991.62816</v>
      </c>
    </row>
    <row r="17" spans="1:19" x14ac:dyDescent="0.25">
      <c r="A17" s="77" t="s">
        <v>1013</v>
      </c>
      <c r="B17" s="77" t="s">
        <v>11</v>
      </c>
      <c r="C17" s="77" t="s">
        <v>12</v>
      </c>
      <c r="D17" s="77" t="s">
        <v>156</v>
      </c>
      <c r="E17" s="77" t="s">
        <v>126</v>
      </c>
      <c r="F17" s="77" t="s">
        <v>15</v>
      </c>
      <c r="G17" s="77" t="s">
        <v>16</v>
      </c>
      <c r="H17" s="77" t="s">
        <v>994</v>
      </c>
      <c r="I17" s="82" t="s">
        <v>18</v>
      </c>
      <c r="J17" s="82">
        <v>3</v>
      </c>
      <c r="K17" s="82"/>
      <c r="L17" s="83">
        <v>12141.251879999998</v>
      </c>
      <c r="M17" s="83">
        <v>29899.809999999998</v>
      </c>
      <c r="N17" s="83">
        <v>29899.809999999998</v>
      </c>
      <c r="O17" s="83">
        <f t="shared" si="1"/>
        <v>36423.755639999996</v>
      </c>
      <c r="P17" s="83">
        <f t="shared" si="3"/>
        <v>38026.400888159995</v>
      </c>
      <c r="Q17" s="83">
        <f t="shared" si="2"/>
        <v>39737.588928127188</v>
      </c>
      <c r="S17" s="145">
        <f>'[1]6601ROAD'!$P$36</f>
        <v>36423.755639999996</v>
      </c>
    </row>
    <row r="18" spans="1:19" x14ac:dyDescent="0.25">
      <c r="A18" s="77" t="s">
        <v>1004</v>
      </c>
      <c r="B18" s="77" t="s">
        <v>11</v>
      </c>
      <c r="C18" s="77" t="s">
        <v>12</v>
      </c>
      <c r="D18" s="77" t="s">
        <v>151</v>
      </c>
      <c r="E18" s="77" t="s">
        <v>126</v>
      </c>
      <c r="F18" s="77" t="s">
        <v>15</v>
      </c>
      <c r="G18" s="77" t="s">
        <v>16</v>
      </c>
      <c r="H18" s="77" t="s">
        <v>994</v>
      </c>
      <c r="I18" s="82" t="s">
        <v>18</v>
      </c>
      <c r="J18" s="82">
        <v>3</v>
      </c>
      <c r="K18" s="82"/>
      <c r="L18" s="83">
        <v>3564.0000000000018</v>
      </c>
      <c r="M18" s="83">
        <v>3419.599999999999</v>
      </c>
      <c r="N18" s="83">
        <v>3419.599999999999</v>
      </c>
      <c r="O18" s="83">
        <f t="shared" si="1"/>
        <v>3955.199999999998</v>
      </c>
      <c r="P18" s="83">
        <f t="shared" si="3"/>
        <v>4129.228799999998</v>
      </c>
      <c r="Q18" s="83">
        <f t="shared" si="2"/>
        <v>4315.0440959999978</v>
      </c>
      <c r="S18" s="145">
        <f>'[1]6601ROAD'!$S$36</f>
        <v>3955.199999999998</v>
      </c>
    </row>
    <row r="19" spans="1:19" hidden="1" x14ac:dyDescent="0.25">
      <c r="A19" s="77" t="s">
        <v>1012</v>
      </c>
      <c r="B19" s="77" t="s">
        <v>11</v>
      </c>
      <c r="C19" s="77" t="s">
        <v>12</v>
      </c>
      <c r="D19" s="77" t="s">
        <v>155</v>
      </c>
      <c r="E19" s="77" t="s">
        <v>126</v>
      </c>
      <c r="F19" s="77" t="s">
        <v>15</v>
      </c>
      <c r="G19" s="77" t="s">
        <v>16</v>
      </c>
      <c r="H19" s="77" t="s">
        <v>994</v>
      </c>
      <c r="I19" s="82" t="s">
        <v>18</v>
      </c>
      <c r="J19" s="82">
        <v>3</v>
      </c>
      <c r="K19" s="82"/>
      <c r="L19" s="83">
        <v>0</v>
      </c>
      <c r="M19" s="83">
        <v>0</v>
      </c>
      <c r="N19" s="83">
        <v>0</v>
      </c>
      <c r="O19" s="83">
        <f t="shared" si="1"/>
        <v>0</v>
      </c>
      <c r="P19" s="83">
        <f t="shared" si="3"/>
        <v>0</v>
      </c>
      <c r="Q19" s="83">
        <f t="shared" si="2"/>
        <v>0</v>
      </c>
      <c r="S19" s="145"/>
    </row>
    <row r="20" spans="1:19" s="107" customFormat="1" hidden="1" x14ac:dyDescent="0.25">
      <c r="A20" s="52" t="s">
        <v>1009</v>
      </c>
      <c r="B20" s="52" t="s">
        <v>11</v>
      </c>
      <c r="C20" s="52" t="s">
        <v>12</v>
      </c>
      <c r="D20" s="52" t="s">
        <v>1010</v>
      </c>
      <c r="E20" s="52" t="s">
        <v>126</v>
      </c>
      <c r="F20" s="52" t="s">
        <v>37</v>
      </c>
      <c r="G20" s="52" t="s">
        <v>16</v>
      </c>
      <c r="H20" s="52" t="s">
        <v>994</v>
      </c>
      <c r="I20" s="104" t="s">
        <v>38</v>
      </c>
      <c r="J20" s="104">
        <v>1</v>
      </c>
      <c r="K20" s="104"/>
      <c r="L20" s="83">
        <v>0</v>
      </c>
      <c r="M20" s="83">
        <v>0</v>
      </c>
      <c r="N20" s="83">
        <v>0</v>
      </c>
      <c r="O20" s="83">
        <f t="shared" si="1"/>
        <v>0</v>
      </c>
      <c r="P20" s="83">
        <f t="shared" si="3"/>
        <v>0</v>
      </c>
      <c r="Q20" s="83">
        <f t="shared" si="2"/>
        <v>0</v>
      </c>
      <c r="S20" s="145">
        <f>'[5]6601ROAD'!$Q$34</f>
        <v>0</v>
      </c>
    </row>
    <row r="21" spans="1:19" hidden="1" x14ac:dyDescent="0.25">
      <c r="A21" s="77" t="s">
        <v>1019</v>
      </c>
      <c r="B21" s="77" t="s">
        <v>11</v>
      </c>
      <c r="C21" s="77" t="s">
        <v>12</v>
      </c>
      <c r="D21" s="77" t="s">
        <v>162</v>
      </c>
      <c r="E21" s="77" t="s">
        <v>126</v>
      </c>
      <c r="F21" s="77" t="s">
        <v>37</v>
      </c>
      <c r="G21" s="77" t="s">
        <v>16</v>
      </c>
      <c r="H21" s="77" t="s">
        <v>994</v>
      </c>
      <c r="I21" s="82" t="s">
        <v>38</v>
      </c>
      <c r="J21" s="82">
        <v>1</v>
      </c>
      <c r="K21" s="82"/>
      <c r="L21" s="83">
        <v>0</v>
      </c>
      <c r="M21" s="83">
        <v>0</v>
      </c>
      <c r="N21" s="83">
        <v>0</v>
      </c>
      <c r="O21" s="83">
        <f t="shared" si="1"/>
        <v>0</v>
      </c>
      <c r="P21" s="83">
        <f t="shared" si="3"/>
        <v>0</v>
      </c>
      <c r="Q21" s="83">
        <f t="shared" si="2"/>
        <v>0</v>
      </c>
      <c r="S21" s="145"/>
    </row>
    <row r="22" spans="1:19" x14ac:dyDescent="0.25">
      <c r="A22" s="77" t="s">
        <v>1018</v>
      </c>
      <c r="B22" s="77" t="s">
        <v>11</v>
      </c>
      <c r="C22" s="77" t="s">
        <v>12</v>
      </c>
      <c r="D22" s="77" t="s">
        <v>193</v>
      </c>
      <c r="E22" s="77" t="s">
        <v>126</v>
      </c>
      <c r="F22" s="77" t="s">
        <v>37</v>
      </c>
      <c r="G22" s="77" t="s">
        <v>16</v>
      </c>
      <c r="H22" s="77" t="s">
        <v>994</v>
      </c>
      <c r="I22" s="82" t="s">
        <v>38</v>
      </c>
      <c r="J22" s="82">
        <v>1</v>
      </c>
      <c r="K22" s="82"/>
      <c r="L22" s="83">
        <v>0</v>
      </c>
      <c r="M22" s="83">
        <v>17140</v>
      </c>
      <c r="N22" s="83">
        <v>17140</v>
      </c>
      <c r="O22" s="83">
        <f t="shared" si="1"/>
        <v>0</v>
      </c>
      <c r="P22" s="83">
        <f t="shared" si="3"/>
        <v>0</v>
      </c>
      <c r="Q22" s="83">
        <f t="shared" si="2"/>
        <v>0</v>
      </c>
      <c r="S22" s="145">
        <f>'[1]6601ROAD'!$T$36</f>
        <v>0</v>
      </c>
    </row>
    <row r="23" spans="1:19" x14ac:dyDescent="0.25">
      <c r="A23" s="77" t="s">
        <v>1007</v>
      </c>
      <c r="B23" s="77" t="s">
        <v>11</v>
      </c>
      <c r="C23" s="77" t="s">
        <v>12</v>
      </c>
      <c r="D23" s="77" t="s">
        <v>43</v>
      </c>
      <c r="E23" s="77" t="s">
        <v>126</v>
      </c>
      <c r="F23" s="77" t="s">
        <v>15</v>
      </c>
      <c r="G23" s="77" t="s">
        <v>16</v>
      </c>
      <c r="H23" s="77" t="s">
        <v>994</v>
      </c>
      <c r="I23" s="82" t="s">
        <v>18</v>
      </c>
      <c r="J23" s="82">
        <v>3</v>
      </c>
      <c r="K23" s="82"/>
      <c r="L23" s="83">
        <v>43822.332624000002</v>
      </c>
      <c r="M23" s="83">
        <v>55026.377531884813</v>
      </c>
      <c r="N23" s="83">
        <v>55026.377531884813</v>
      </c>
      <c r="O23" s="83">
        <f t="shared" si="1"/>
        <v>47883.503538000019</v>
      </c>
      <c r="P23" s="83">
        <f t="shared" si="3"/>
        <v>49990.377693672024</v>
      </c>
      <c r="Q23" s="83">
        <f t="shared" si="2"/>
        <v>52239.944689887263</v>
      </c>
      <c r="S23" s="145">
        <f>'[1]6601ROAD'!$U$36</f>
        <v>47883.503538000019</v>
      </c>
    </row>
    <row r="24" spans="1:19" x14ac:dyDescent="0.25">
      <c r="A24" s="76" t="s">
        <v>1019</v>
      </c>
      <c r="B24" s="77"/>
      <c r="C24" s="77"/>
      <c r="D24" s="77" t="s">
        <v>162</v>
      </c>
      <c r="E24" s="77"/>
      <c r="F24" s="77"/>
      <c r="G24" s="77"/>
      <c r="H24" s="77"/>
      <c r="I24" s="82"/>
      <c r="J24" s="82"/>
      <c r="K24" s="82"/>
      <c r="L24" s="83">
        <v>100334.92137983999</v>
      </c>
      <c r="M24" s="83">
        <v>69381.223188479984</v>
      </c>
      <c r="N24" s="83">
        <v>69381.223188479984</v>
      </c>
      <c r="O24" s="83">
        <f t="shared" si="1"/>
        <v>70373.15499712</v>
      </c>
      <c r="P24" s="83">
        <f t="shared" si="3"/>
        <v>73469.573816993288</v>
      </c>
      <c r="Q24" s="83">
        <f t="shared" si="2"/>
        <v>76775.704638757976</v>
      </c>
      <c r="S24" s="145">
        <f>'[1]6601ROAD'!$F$36</f>
        <v>70373.15499712</v>
      </c>
    </row>
    <row r="25" spans="1:19" x14ac:dyDescent="0.25">
      <c r="A25" s="77"/>
      <c r="B25" s="77"/>
      <c r="C25" s="77"/>
      <c r="D25" s="77"/>
      <c r="E25" s="77"/>
      <c r="F25" s="77"/>
      <c r="G25" s="77"/>
      <c r="H25" s="77"/>
      <c r="I25" s="82"/>
      <c r="J25" s="82"/>
      <c r="K25" s="82"/>
      <c r="O25" s="83"/>
      <c r="P25" s="83"/>
      <c r="Q25" s="83"/>
      <c r="S25" s="145"/>
    </row>
    <row r="26" spans="1:19" x14ac:dyDescent="0.25">
      <c r="A26" s="77" t="s">
        <v>1003</v>
      </c>
      <c r="B26" s="77" t="s">
        <v>11</v>
      </c>
      <c r="C26" s="77" t="s">
        <v>12</v>
      </c>
      <c r="D26" s="77" t="s">
        <v>30</v>
      </c>
      <c r="E26" s="77" t="s">
        <v>126</v>
      </c>
      <c r="F26" s="77" t="s">
        <v>15</v>
      </c>
      <c r="G26" s="77" t="s">
        <v>16</v>
      </c>
      <c r="H26" s="77" t="s">
        <v>994</v>
      </c>
      <c r="I26" s="82" t="s">
        <v>18</v>
      </c>
      <c r="J26" s="82">
        <v>3</v>
      </c>
      <c r="K26" s="82"/>
      <c r="L26" s="83">
        <v>58931.804567999985</v>
      </c>
      <c r="M26" s="83">
        <v>64879.448100000009</v>
      </c>
      <c r="N26" s="83">
        <v>64879.448100000009</v>
      </c>
      <c r="O26" s="83">
        <f t="shared" si="1"/>
        <v>66265.278808799994</v>
      </c>
      <c r="P26" s="83">
        <f t="shared" si="3"/>
        <v>69180.951076387195</v>
      </c>
      <c r="Q26" s="83">
        <f t="shared" si="2"/>
        <v>72294.093874824612</v>
      </c>
      <c r="S26" s="145">
        <f>'[1]6601ROAD'!$R$36</f>
        <v>66265.278808799994</v>
      </c>
    </row>
    <row r="27" spans="1:19" s="107" customFormat="1" x14ac:dyDescent="0.25">
      <c r="A27" s="52" t="s">
        <v>1001</v>
      </c>
      <c r="B27" s="52" t="s">
        <v>11</v>
      </c>
      <c r="C27" s="52" t="s">
        <v>12</v>
      </c>
      <c r="D27" s="52" t="s">
        <v>20</v>
      </c>
      <c r="E27" s="52" t="s">
        <v>126</v>
      </c>
      <c r="F27" s="52" t="s">
        <v>15</v>
      </c>
      <c r="G27" s="52" t="s">
        <v>16</v>
      </c>
      <c r="H27" s="52" t="s">
        <v>994</v>
      </c>
      <c r="I27" s="104" t="s">
        <v>18</v>
      </c>
      <c r="J27" s="104">
        <v>3</v>
      </c>
      <c r="K27" s="104"/>
      <c r="L27" s="105">
        <v>15000</v>
      </c>
      <c r="M27" s="105">
        <v>15000</v>
      </c>
      <c r="N27" s="105">
        <v>15000</v>
      </c>
      <c r="O27" s="105">
        <v>15000</v>
      </c>
      <c r="P27" s="105">
        <v>15000</v>
      </c>
      <c r="Q27" s="105">
        <v>15000</v>
      </c>
      <c r="S27" s="106"/>
    </row>
    <row r="28" spans="1:19" s="107" customFormat="1" x14ac:dyDescent="0.25">
      <c r="A28" s="52" t="s">
        <v>1002</v>
      </c>
      <c r="B28" s="52" t="s">
        <v>11</v>
      </c>
      <c r="C28" s="52" t="s">
        <v>12</v>
      </c>
      <c r="D28" s="52" t="s">
        <v>24</v>
      </c>
      <c r="E28" s="52" t="s">
        <v>126</v>
      </c>
      <c r="F28" s="52" t="s">
        <v>15</v>
      </c>
      <c r="G28" s="52" t="s">
        <v>16</v>
      </c>
      <c r="H28" s="52" t="s">
        <v>994</v>
      </c>
      <c r="I28" s="104" t="s">
        <v>18</v>
      </c>
      <c r="J28" s="104">
        <v>3</v>
      </c>
      <c r="K28" s="104"/>
      <c r="L28" s="105">
        <v>12000</v>
      </c>
      <c r="M28" s="105">
        <v>50000</v>
      </c>
      <c r="N28" s="105">
        <v>50000</v>
      </c>
      <c r="O28" s="105">
        <v>50000</v>
      </c>
      <c r="P28" s="105">
        <v>50000</v>
      </c>
      <c r="Q28" s="105">
        <v>50000</v>
      </c>
      <c r="S28" s="106"/>
    </row>
    <row r="29" spans="1:19" x14ac:dyDescent="0.25">
      <c r="A29" s="77" t="s">
        <v>996</v>
      </c>
      <c r="B29" s="77" t="s">
        <v>11</v>
      </c>
      <c r="C29" s="77" t="s">
        <v>12</v>
      </c>
      <c r="D29" s="77" t="s">
        <v>28</v>
      </c>
      <c r="E29" s="77" t="s">
        <v>126</v>
      </c>
      <c r="F29" s="77" t="s">
        <v>15</v>
      </c>
      <c r="G29" s="77" t="s">
        <v>16</v>
      </c>
      <c r="H29" s="77" t="s">
        <v>994</v>
      </c>
      <c r="I29" s="82" t="s">
        <v>18</v>
      </c>
      <c r="J29" s="82">
        <v>3</v>
      </c>
      <c r="K29" s="82"/>
      <c r="L29" s="74">
        <v>25000</v>
      </c>
      <c r="M29" s="74">
        <v>35000</v>
      </c>
      <c r="N29" s="74">
        <v>35000</v>
      </c>
      <c r="O29" s="74">
        <v>35000</v>
      </c>
      <c r="P29" s="74">
        <v>35000</v>
      </c>
      <c r="Q29" s="74">
        <v>35000</v>
      </c>
    </row>
    <row r="30" spans="1:19" x14ac:dyDescent="0.25">
      <c r="A30" s="77" t="s">
        <v>1000</v>
      </c>
      <c r="B30" s="77" t="s">
        <v>11</v>
      </c>
      <c r="C30" s="77" t="s">
        <v>12</v>
      </c>
      <c r="D30" s="77" t="s">
        <v>13</v>
      </c>
      <c r="E30" s="77" t="s">
        <v>126</v>
      </c>
      <c r="F30" s="77" t="s">
        <v>15</v>
      </c>
      <c r="G30" s="77" t="s">
        <v>16</v>
      </c>
      <c r="H30" s="77" t="s">
        <v>994</v>
      </c>
      <c r="I30" s="82" t="s">
        <v>18</v>
      </c>
      <c r="J30" s="82">
        <v>3</v>
      </c>
      <c r="K30" s="82"/>
      <c r="L30" s="74">
        <v>30000</v>
      </c>
      <c r="M30" s="74">
        <v>50000</v>
      </c>
      <c r="N30" s="74">
        <v>50000</v>
      </c>
      <c r="O30" s="74">
        <v>50000</v>
      </c>
      <c r="P30" s="74">
        <v>50000</v>
      </c>
      <c r="Q30" s="74">
        <v>50000</v>
      </c>
    </row>
    <row r="31" spans="1:19" x14ac:dyDescent="0.25">
      <c r="A31" s="77" t="s">
        <v>998</v>
      </c>
      <c r="B31" s="77" t="s">
        <v>11</v>
      </c>
      <c r="C31" s="77" t="s">
        <v>12</v>
      </c>
      <c r="D31" s="77" t="s">
        <v>32</v>
      </c>
      <c r="E31" s="77" t="s">
        <v>126</v>
      </c>
      <c r="F31" s="77" t="s">
        <v>15</v>
      </c>
      <c r="G31" s="77" t="s">
        <v>16</v>
      </c>
      <c r="H31" s="77" t="s">
        <v>994</v>
      </c>
      <c r="I31" s="82" t="s">
        <v>18</v>
      </c>
      <c r="J31" s="82">
        <v>3</v>
      </c>
      <c r="K31" s="82"/>
      <c r="L31" s="74">
        <v>3000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</row>
    <row r="32" spans="1:19" x14ac:dyDescent="0.25">
      <c r="A32" s="77" t="s">
        <v>999</v>
      </c>
      <c r="B32" s="77" t="s">
        <v>11</v>
      </c>
      <c r="C32" s="77" t="s">
        <v>12</v>
      </c>
      <c r="D32" s="77" t="s">
        <v>22</v>
      </c>
      <c r="E32" s="77" t="s">
        <v>126</v>
      </c>
      <c r="F32" s="77" t="s">
        <v>15</v>
      </c>
      <c r="G32" s="77" t="s">
        <v>16</v>
      </c>
      <c r="H32" s="77" t="s">
        <v>994</v>
      </c>
      <c r="I32" s="82" t="s">
        <v>18</v>
      </c>
      <c r="J32" s="82">
        <v>3</v>
      </c>
      <c r="K32" s="82"/>
      <c r="L32" s="74">
        <v>5000</v>
      </c>
      <c r="M32" s="74">
        <v>30000</v>
      </c>
      <c r="N32" s="74">
        <v>30000</v>
      </c>
      <c r="O32" s="74">
        <v>30000</v>
      </c>
      <c r="P32" s="74">
        <v>30000</v>
      </c>
      <c r="Q32" s="74">
        <v>30000</v>
      </c>
    </row>
    <row r="33" spans="1:22" x14ac:dyDescent="0.25">
      <c r="A33" s="77" t="s">
        <v>997</v>
      </c>
      <c r="B33" s="77" t="s">
        <v>11</v>
      </c>
      <c r="C33" s="77" t="s">
        <v>12</v>
      </c>
      <c r="D33" s="77" t="s">
        <v>26</v>
      </c>
      <c r="E33" s="77" t="s">
        <v>126</v>
      </c>
      <c r="F33" s="77" t="s">
        <v>15</v>
      </c>
      <c r="G33" s="77" t="s">
        <v>16</v>
      </c>
      <c r="H33" s="77" t="s">
        <v>994</v>
      </c>
      <c r="I33" s="82" t="s">
        <v>18</v>
      </c>
      <c r="J33" s="82">
        <v>3</v>
      </c>
      <c r="K33" s="82"/>
      <c r="L33" s="74">
        <v>2000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/>
      <c r="S33" s="74"/>
      <c r="T33" s="74"/>
      <c r="V33" s="79"/>
    </row>
    <row r="34" spans="1:22" x14ac:dyDescent="0.25">
      <c r="L34" s="134"/>
    </row>
    <row r="35" spans="1:22" s="107" customFormat="1" x14ac:dyDescent="0.25">
      <c r="A35" s="50" t="s">
        <v>995</v>
      </c>
      <c r="B35" s="52" t="s">
        <v>992</v>
      </c>
      <c r="C35" s="52" t="s">
        <v>639</v>
      </c>
      <c r="D35" s="52" t="s">
        <v>150</v>
      </c>
      <c r="E35" s="52" t="s">
        <v>126</v>
      </c>
      <c r="F35" s="52" t="s">
        <v>292</v>
      </c>
      <c r="G35" s="52" t="s">
        <v>16</v>
      </c>
      <c r="H35" s="52" t="s">
        <v>994</v>
      </c>
      <c r="I35" s="104" t="s">
        <v>18</v>
      </c>
      <c r="J35" s="104">
        <v>3</v>
      </c>
      <c r="K35" s="104"/>
      <c r="L35" s="105">
        <v>3500000</v>
      </c>
      <c r="M35" s="105">
        <v>2000000</v>
      </c>
      <c r="N35" s="105">
        <v>2000000</v>
      </c>
      <c r="O35" s="105">
        <v>2500000</v>
      </c>
      <c r="P35" s="105">
        <v>2600000</v>
      </c>
      <c r="Q35" s="105">
        <v>3000000</v>
      </c>
      <c r="S35" s="106"/>
    </row>
    <row r="36" spans="1:22" s="107" customFormat="1" x14ac:dyDescent="0.25">
      <c r="A36" s="52" t="s">
        <v>2037</v>
      </c>
      <c r="B36" s="52" t="s">
        <v>992</v>
      </c>
      <c r="C36" s="52" t="s">
        <v>639</v>
      </c>
      <c r="D36" s="52" t="s">
        <v>993</v>
      </c>
      <c r="E36" s="52" t="s">
        <v>126</v>
      </c>
      <c r="F36" s="52" t="s">
        <v>292</v>
      </c>
      <c r="G36" s="52" t="s">
        <v>16</v>
      </c>
      <c r="H36" s="52" t="s">
        <v>994</v>
      </c>
      <c r="I36" s="104" t="s">
        <v>18</v>
      </c>
      <c r="J36" s="104">
        <v>3</v>
      </c>
      <c r="K36" s="104"/>
      <c r="L36" s="105">
        <v>30000000</v>
      </c>
      <c r="M36" s="105">
        <f>44421701-2000000-7421701</f>
        <v>35000000</v>
      </c>
      <c r="N36" s="105">
        <v>35000000</v>
      </c>
      <c r="O36" s="105">
        <f>40000000-5000000</f>
        <v>35000000</v>
      </c>
      <c r="P36" s="105">
        <v>38000000</v>
      </c>
      <c r="Q36" s="105">
        <v>40000000</v>
      </c>
      <c r="S36" s="106"/>
    </row>
    <row r="38" spans="1:22" ht="15.75" thickBot="1" x14ac:dyDescent="0.3">
      <c r="A38" s="100" t="s">
        <v>1203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1">
        <f>SUM(L10:L37)</f>
        <v>42574321.119147837</v>
      </c>
      <c r="M38" s="101">
        <f>SUM(M10:M37)</f>
        <v>46137844.027020365</v>
      </c>
      <c r="N38" s="101">
        <f>SUM(N10:N37)</f>
        <v>46137844.027020365</v>
      </c>
      <c r="O38" s="101">
        <f t="shared" ref="O38:Q38" si="4">SUM(O10:O37)</f>
        <v>47810933.809037521</v>
      </c>
      <c r="P38" s="101">
        <f t="shared" si="4"/>
        <v>51356694.896635175</v>
      </c>
      <c r="Q38" s="101">
        <f t="shared" si="4"/>
        <v>54232646.166983753</v>
      </c>
    </row>
  </sheetData>
  <sortState xmlns:xlrd2="http://schemas.microsoft.com/office/spreadsheetml/2017/richdata2" ref="A2:Z31">
    <sortCondition ref="D2:D31"/>
  </sortState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S17"/>
  <sheetViews>
    <sheetView zoomScale="115" zoomScaleNormal="115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52.25" style="1" customWidth="1"/>
    <col min="2" max="3" width="0" style="1" hidden="1" customWidth="1"/>
    <col min="4" max="4" width="28" style="1" bestFit="1" customWidth="1"/>
    <col min="5" max="5" width="17.375" style="1" hidden="1" customWidth="1"/>
    <col min="6" max="11" width="9.125" style="1" hidden="1" customWidth="1"/>
    <col min="12" max="12" width="12.625" style="1" bestFit="1" customWidth="1"/>
    <col min="13" max="13" width="13.375" style="1" customWidth="1"/>
    <col min="14" max="17" width="13.375" style="161" customWidth="1"/>
    <col min="18" max="18" width="9.125" style="1"/>
    <col min="19" max="19" width="12.625" style="2" bestFit="1" customWidth="1"/>
    <col min="20" max="16384" width="9.125" style="1"/>
  </cols>
  <sheetData>
    <row r="1" spans="1:19" ht="15.75" x14ac:dyDescent="0.25">
      <c r="A1" s="47" t="s">
        <v>1597</v>
      </c>
      <c r="B1" s="47"/>
      <c r="C1" s="47"/>
      <c r="D1" s="47"/>
    </row>
    <row r="2" spans="1:19" ht="15.75" x14ac:dyDescent="0.25">
      <c r="A2" s="19" t="s">
        <v>2342</v>
      </c>
      <c r="B2" s="19"/>
      <c r="C2" s="47"/>
      <c r="D2" s="47"/>
    </row>
    <row r="3" spans="1:19" ht="15.75" x14ac:dyDescent="0.25">
      <c r="A3" s="47" t="s">
        <v>1022</v>
      </c>
      <c r="B3" s="47"/>
      <c r="C3" s="47"/>
      <c r="D3" s="47"/>
    </row>
    <row r="4" spans="1:19" ht="66.75" customHeight="1" x14ac:dyDescent="0.25">
      <c r="A4" s="1" t="s">
        <v>1202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" t="s">
        <v>1029</v>
      </c>
      <c r="B5" s="3" t="s">
        <v>11</v>
      </c>
      <c r="C5" s="3" t="s">
        <v>12</v>
      </c>
      <c r="D5" s="3" t="s">
        <v>157</v>
      </c>
      <c r="E5" s="3" t="s">
        <v>1021</v>
      </c>
      <c r="F5" s="3" t="s">
        <v>15</v>
      </c>
      <c r="G5" s="3" t="s">
        <v>16</v>
      </c>
      <c r="H5" s="3" t="s">
        <v>1022</v>
      </c>
      <c r="I5" s="4" t="s">
        <v>18</v>
      </c>
      <c r="J5" s="4">
        <v>3</v>
      </c>
      <c r="K5" s="4"/>
      <c r="L5" s="6">
        <v>1188667.5944400001</v>
      </c>
      <c r="M5" s="6">
        <v>588352.19999999995</v>
      </c>
      <c r="N5" s="6">
        <v>588352.19999999995</v>
      </c>
      <c r="O5" s="6">
        <f>S5</f>
        <v>1203768.03336</v>
      </c>
      <c r="P5" s="6">
        <f>O5*1.044</f>
        <v>1256733.8268278399</v>
      </c>
      <c r="Q5" s="6">
        <f>P5*1.045</f>
        <v>1313286.8490350926</v>
      </c>
      <c r="S5" s="147">
        <f>'[1]6603TRANS'!$E$10</f>
        <v>1203768.03336</v>
      </c>
    </row>
    <row r="6" spans="1:19" x14ac:dyDescent="0.25">
      <c r="A6" s="3" t="s">
        <v>1026</v>
      </c>
      <c r="B6" s="3" t="s">
        <v>11</v>
      </c>
      <c r="C6" s="3" t="s">
        <v>12</v>
      </c>
      <c r="D6" s="3" t="s">
        <v>1630</v>
      </c>
      <c r="E6" s="3" t="s">
        <v>1021</v>
      </c>
      <c r="F6" s="3" t="s">
        <v>15</v>
      </c>
      <c r="G6" s="3" t="s">
        <v>16</v>
      </c>
      <c r="H6" s="3" t="s">
        <v>1022</v>
      </c>
      <c r="I6" s="4" t="s">
        <v>18</v>
      </c>
      <c r="J6" s="4">
        <v>3</v>
      </c>
      <c r="K6" s="4"/>
      <c r="L6" s="6">
        <v>60000</v>
      </c>
      <c r="M6" s="6">
        <v>70000</v>
      </c>
      <c r="N6" s="6">
        <v>70000</v>
      </c>
      <c r="O6" s="6">
        <v>70000</v>
      </c>
      <c r="P6" s="6">
        <f t="shared" ref="P6:P13" si="0">O6*1.044</f>
        <v>73080</v>
      </c>
      <c r="Q6" s="6">
        <f t="shared" ref="Q6:Q13" si="1">P6*1.045</f>
        <v>76368.599999999991</v>
      </c>
      <c r="S6" s="147"/>
    </row>
    <row r="7" spans="1:19" x14ac:dyDescent="0.25">
      <c r="A7" s="3" t="s">
        <v>1027</v>
      </c>
      <c r="B7" s="3" t="s">
        <v>11</v>
      </c>
      <c r="C7" s="3" t="s">
        <v>12</v>
      </c>
      <c r="D7" s="3" t="s">
        <v>153</v>
      </c>
      <c r="E7" s="3" t="s">
        <v>1021</v>
      </c>
      <c r="F7" s="3" t="s">
        <v>15</v>
      </c>
      <c r="G7" s="3" t="s">
        <v>16</v>
      </c>
      <c r="H7" s="3" t="s">
        <v>1022</v>
      </c>
      <c r="I7" s="4" t="s">
        <v>18</v>
      </c>
      <c r="J7" s="4">
        <v>3</v>
      </c>
      <c r="K7" s="4"/>
      <c r="L7" s="6">
        <v>99055.632870000001</v>
      </c>
      <c r="M7" s="6">
        <v>111213.82</v>
      </c>
      <c r="N7" s="6">
        <v>111213.82</v>
      </c>
      <c r="O7" s="6">
        <f t="shared" ref="O7:O13" si="2">S7</f>
        <v>100314.00278</v>
      </c>
      <c r="P7" s="6">
        <f t="shared" si="0"/>
        <v>104727.81890232</v>
      </c>
      <c r="Q7" s="6">
        <f t="shared" si="1"/>
        <v>109440.57075292438</v>
      </c>
      <c r="S7" s="147">
        <f>'[1]6603TRANS'!$I$10</f>
        <v>100314.00278</v>
      </c>
    </row>
    <row r="8" spans="1:19" x14ac:dyDescent="0.25">
      <c r="A8" s="3" t="s">
        <v>1028</v>
      </c>
      <c r="B8" s="3" t="s">
        <v>11</v>
      </c>
      <c r="C8" s="3" t="s">
        <v>12</v>
      </c>
      <c r="D8" s="3" t="s">
        <v>155</v>
      </c>
      <c r="E8" s="3" t="s">
        <v>1021</v>
      </c>
      <c r="F8" s="3" t="s">
        <v>15</v>
      </c>
      <c r="G8" s="3" t="s">
        <v>16</v>
      </c>
      <c r="H8" s="3" t="s">
        <v>1022</v>
      </c>
      <c r="I8" s="4" t="s">
        <v>18</v>
      </c>
      <c r="J8" s="4">
        <v>3</v>
      </c>
      <c r="K8" s="4"/>
      <c r="L8" s="6">
        <v>0</v>
      </c>
      <c r="M8" s="6">
        <v>0</v>
      </c>
      <c r="N8" s="6">
        <v>0</v>
      </c>
      <c r="O8" s="6">
        <f t="shared" si="2"/>
        <v>8261.92</v>
      </c>
      <c r="P8" s="6">
        <f t="shared" si="0"/>
        <v>8625.4444800000001</v>
      </c>
      <c r="Q8" s="6">
        <f t="shared" si="1"/>
        <v>9013.5894816</v>
      </c>
      <c r="S8" s="147">
        <f>'[2]6603TRANS'!$J$10</f>
        <v>8261.92</v>
      </c>
    </row>
    <row r="9" spans="1:19" x14ac:dyDescent="0.25">
      <c r="A9" s="3" t="s">
        <v>1024</v>
      </c>
      <c r="B9" s="3" t="s">
        <v>11</v>
      </c>
      <c r="C9" s="3" t="s">
        <v>12</v>
      </c>
      <c r="D9" s="3" t="s">
        <v>41</v>
      </c>
      <c r="E9" s="3" t="s">
        <v>1021</v>
      </c>
      <c r="F9" s="3" t="s">
        <v>15</v>
      </c>
      <c r="G9" s="3" t="s">
        <v>16</v>
      </c>
      <c r="H9" s="3" t="s">
        <v>1022</v>
      </c>
      <c r="I9" s="4" t="s">
        <v>18</v>
      </c>
      <c r="J9" s="4">
        <v>3</v>
      </c>
      <c r="K9" s="4"/>
      <c r="L9" s="6">
        <v>261506.8707768</v>
      </c>
      <c r="M9" s="6">
        <v>122640.62539999999</v>
      </c>
      <c r="N9" s="6">
        <v>122640.62539999999</v>
      </c>
      <c r="O9" s="6">
        <f t="shared" si="2"/>
        <v>264828.96733919997</v>
      </c>
      <c r="P9" s="6">
        <f t="shared" si="0"/>
        <v>276481.44190212479</v>
      </c>
      <c r="Q9" s="6">
        <f t="shared" si="1"/>
        <v>288923.1067877204</v>
      </c>
      <c r="S9" s="147">
        <f>'[1]6603TRANS'!$K$10</f>
        <v>264828.96733919997</v>
      </c>
    </row>
    <row r="10" spans="1:19" x14ac:dyDescent="0.25">
      <c r="A10" t="s">
        <v>1989</v>
      </c>
      <c r="B10" s="3"/>
      <c r="C10" s="3"/>
      <c r="D10" s="3" t="s">
        <v>36</v>
      </c>
      <c r="E10" s="3"/>
      <c r="F10" s="3"/>
      <c r="G10" s="3"/>
      <c r="H10" s="3"/>
      <c r="I10" s="4"/>
      <c r="J10" s="4"/>
      <c r="K10" s="4"/>
      <c r="L10" s="6">
        <v>19936.800000000003</v>
      </c>
      <c r="M10" s="6">
        <v>19936.800000000003</v>
      </c>
      <c r="N10" s="6">
        <v>19936.800000000003</v>
      </c>
      <c r="O10" s="6">
        <f t="shared" si="2"/>
        <v>19936.800000000003</v>
      </c>
      <c r="P10" s="6">
        <f t="shared" si="0"/>
        <v>20814.019200000002</v>
      </c>
      <c r="Q10" s="6">
        <f t="shared" si="1"/>
        <v>21750.650064000001</v>
      </c>
      <c r="S10" s="147">
        <f>'[1]6603TRANS'!$L$10</f>
        <v>19936.800000000003</v>
      </c>
    </row>
    <row r="11" spans="1:19" x14ac:dyDescent="0.25">
      <c r="A11" s="3" t="s">
        <v>1020</v>
      </c>
      <c r="B11" s="3" t="s">
        <v>11</v>
      </c>
      <c r="C11" s="3" t="s">
        <v>12</v>
      </c>
      <c r="D11" s="3" t="s">
        <v>151</v>
      </c>
      <c r="E11" s="3" t="s">
        <v>1021</v>
      </c>
      <c r="F11" s="3" t="s">
        <v>15</v>
      </c>
      <c r="G11" s="3" t="s">
        <v>16</v>
      </c>
      <c r="H11" s="3" t="s">
        <v>1022</v>
      </c>
      <c r="I11" s="4" t="s">
        <v>18</v>
      </c>
      <c r="J11" s="4">
        <v>3</v>
      </c>
      <c r="K11" s="4"/>
      <c r="L11" s="6">
        <v>831.59999999999991</v>
      </c>
      <c r="M11" s="6">
        <v>360.5</v>
      </c>
      <c r="N11" s="6">
        <v>360.5</v>
      </c>
      <c r="O11" s="6">
        <f t="shared" si="2"/>
        <v>865.2</v>
      </c>
      <c r="P11" s="6">
        <f t="shared" si="0"/>
        <v>903.26880000000006</v>
      </c>
      <c r="Q11" s="6">
        <f t="shared" si="1"/>
        <v>943.91589599999998</v>
      </c>
      <c r="S11" s="147">
        <f>'[1]6603TRANS'!$R$10</f>
        <v>865.2</v>
      </c>
    </row>
    <row r="12" spans="1:19" x14ac:dyDescent="0.25">
      <c r="A12" s="3" t="s">
        <v>1025</v>
      </c>
      <c r="B12" s="3" t="s">
        <v>11</v>
      </c>
      <c r="C12" s="3" t="s">
        <v>12</v>
      </c>
      <c r="D12" s="3" t="s">
        <v>43</v>
      </c>
      <c r="E12" s="3" t="s">
        <v>1021</v>
      </c>
      <c r="F12" s="3" t="s">
        <v>15</v>
      </c>
      <c r="G12" s="3" t="s">
        <v>16</v>
      </c>
      <c r="H12" s="3" t="s">
        <v>1022</v>
      </c>
      <c r="I12" s="4" t="s">
        <v>18</v>
      </c>
      <c r="J12" s="4">
        <v>3</v>
      </c>
      <c r="K12" s="4"/>
      <c r="L12" s="6">
        <v>10481.52</v>
      </c>
      <c r="M12" s="6">
        <v>6272.5042999999996</v>
      </c>
      <c r="N12" s="6">
        <v>6272.5042999999996</v>
      </c>
      <c r="O12" s="6">
        <f t="shared" si="2"/>
        <v>10481.52</v>
      </c>
      <c r="P12" s="6">
        <f t="shared" si="0"/>
        <v>10942.706880000002</v>
      </c>
      <c r="Q12" s="6">
        <f t="shared" si="1"/>
        <v>11435.1286896</v>
      </c>
      <c r="S12" s="147">
        <f>'[1]6603TRANS'!$T$10</f>
        <v>10481.52</v>
      </c>
    </row>
    <row r="13" spans="1:19" x14ac:dyDescent="0.25">
      <c r="A13" s="31" t="s">
        <v>2126</v>
      </c>
      <c r="B13" s="3"/>
      <c r="C13" s="3"/>
      <c r="D13" s="3" t="s">
        <v>162</v>
      </c>
      <c r="E13" s="3"/>
      <c r="F13" s="3"/>
      <c r="G13" s="3"/>
      <c r="H13" s="3"/>
      <c r="I13" s="4"/>
      <c r="J13" s="4"/>
      <c r="K13" s="4"/>
      <c r="L13" s="6">
        <v>44568.991871999999</v>
      </c>
      <c r="M13" s="6">
        <v>44568.991871999999</v>
      </c>
      <c r="N13" s="6">
        <v>44568.991871999999</v>
      </c>
      <c r="O13" s="6">
        <f t="shared" si="2"/>
        <v>45997.23</v>
      </c>
      <c r="P13" s="6">
        <f t="shared" si="0"/>
        <v>48021.108120000004</v>
      </c>
      <c r="Q13" s="6">
        <f t="shared" si="1"/>
        <v>50182.057985400003</v>
      </c>
      <c r="S13" s="147">
        <f>'[1]6603TRANS'!$F$10</f>
        <v>45997.23</v>
      </c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S14" s="147"/>
    </row>
    <row r="15" spans="1:19" x14ac:dyDescent="0.25">
      <c r="A15" s="3" t="s">
        <v>1023</v>
      </c>
      <c r="B15" s="3" t="s">
        <v>11</v>
      </c>
      <c r="C15" s="3" t="s">
        <v>12</v>
      </c>
      <c r="D15" s="3" t="s">
        <v>30</v>
      </c>
      <c r="E15" s="3" t="s">
        <v>1021</v>
      </c>
      <c r="F15" s="3" t="s">
        <v>15</v>
      </c>
      <c r="G15" s="3" t="s">
        <v>16</v>
      </c>
      <c r="H15" s="3" t="s">
        <v>1022</v>
      </c>
      <c r="I15" s="4" t="s">
        <v>18</v>
      </c>
      <c r="J15" s="4">
        <v>3</v>
      </c>
      <c r="K15" s="4"/>
      <c r="L15" s="6">
        <v>11886.6759444</v>
      </c>
      <c r="M15" s="6">
        <v>6473.5257000000001</v>
      </c>
      <c r="N15" s="6">
        <v>6473.5257000000001</v>
      </c>
      <c r="O15" s="6">
        <f>S15</f>
        <v>12037.680333600001</v>
      </c>
      <c r="P15" s="6">
        <f>O15*1.044</f>
        <v>12567.338268278401</v>
      </c>
      <c r="Q15" s="6">
        <f>P15*1.045</f>
        <v>13132.868490350929</v>
      </c>
      <c r="S15" s="147">
        <f>'[1]6603TRANS'!$Q$10</f>
        <v>12037.680333600001</v>
      </c>
    </row>
    <row r="16" spans="1:19" hidden="1" x14ac:dyDescent="0.25">
      <c r="A16" s="15" t="s">
        <v>2178</v>
      </c>
      <c r="D16" s="3" t="s">
        <v>24</v>
      </c>
    </row>
    <row r="17" spans="1:17" ht="15.75" thickBot="1" x14ac:dyDescent="0.3">
      <c r="A17" s="16" t="s">
        <v>1203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1">
        <f t="shared" ref="L17:Q17" si="3">SUM(L5:L16)</f>
        <v>1696935.6859032004</v>
      </c>
      <c r="M17" s="41">
        <f t="shared" si="3"/>
        <v>969818.96727200015</v>
      </c>
      <c r="N17" s="41">
        <f t="shared" si="3"/>
        <v>969818.96727200015</v>
      </c>
      <c r="O17" s="41">
        <f t="shared" si="3"/>
        <v>1736491.3538127998</v>
      </c>
      <c r="P17" s="41">
        <f t="shared" si="3"/>
        <v>1812896.9733805631</v>
      </c>
      <c r="Q17" s="41">
        <f t="shared" si="3"/>
        <v>1894477.3371826885</v>
      </c>
    </row>
  </sheetData>
  <sortState xmlns:xlrd2="http://schemas.microsoft.com/office/spreadsheetml/2017/richdata2" ref="A2:Z9">
    <sortCondition ref="D2:D9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S47"/>
  <sheetViews>
    <sheetView zoomScale="110" zoomScaleNormal="110" workbookViewId="0">
      <pane ySplit="4" topLeftCell="A14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25" style="35" bestFit="1" customWidth="1"/>
    <col min="2" max="3" width="15.125" style="35" hidden="1" customWidth="1"/>
    <col min="4" max="4" width="39.625" style="35" customWidth="1"/>
    <col min="5" max="9" width="9.125" style="35" hidden="1" customWidth="1"/>
    <col min="10" max="10" width="9" style="35" hidden="1" customWidth="1"/>
    <col min="11" max="11" width="5" style="35" hidden="1" customWidth="1"/>
    <col min="12" max="12" width="13.875" style="35" customWidth="1"/>
    <col min="13" max="13" width="12.25" style="35" customWidth="1"/>
    <col min="14" max="17" width="12.25" style="171" customWidth="1"/>
    <col min="18" max="18" width="9.125" style="35"/>
    <col min="19" max="19" width="13.7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46"/>
      <c r="C2" s="72"/>
      <c r="D2" s="72"/>
    </row>
    <row r="3" spans="1:19" ht="15.75" x14ac:dyDescent="0.25">
      <c r="A3" s="72" t="s">
        <v>1747</v>
      </c>
      <c r="B3" s="72"/>
      <c r="C3" s="72"/>
      <c r="D3" s="72"/>
    </row>
    <row r="4" spans="1:19" ht="59.2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D5" s="35" t="s">
        <v>1608</v>
      </c>
    </row>
    <row r="6" spans="1:19" x14ac:dyDescent="0.25">
      <c r="A6" s="31" t="s">
        <v>1055</v>
      </c>
      <c r="B6" s="31" t="s">
        <v>290</v>
      </c>
      <c r="C6" s="31" t="s">
        <v>1056</v>
      </c>
      <c r="D6" s="31" t="s">
        <v>1620</v>
      </c>
      <c r="E6" s="31" t="s">
        <v>1031</v>
      </c>
      <c r="F6" s="31" t="s">
        <v>292</v>
      </c>
      <c r="G6" s="31" t="s">
        <v>16</v>
      </c>
      <c r="H6" s="31" t="s">
        <v>1032</v>
      </c>
      <c r="I6" s="32" t="s">
        <v>18</v>
      </c>
      <c r="J6" s="32">
        <v>3</v>
      </c>
      <c r="K6" s="32"/>
      <c r="L6" s="43">
        <v>2000000</v>
      </c>
      <c r="M6" s="43">
        <v>360000</v>
      </c>
      <c r="N6" s="43">
        <v>360000</v>
      </c>
      <c r="O6" s="43">
        <v>500000</v>
      </c>
      <c r="P6" s="43">
        <v>520000</v>
      </c>
      <c r="Q6" s="43">
        <v>540000</v>
      </c>
    </row>
    <row r="7" spans="1:19" x14ac:dyDescent="0.25">
      <c r="A7" s="31" t="s">
        <v>1052</v>
      </c>
      <c r="B7" s="31" t="s">
        <v>290</v>
      </c>
      <c r="C7" s="31" t="s">
        <v>776</v>
      </c>
      <c r="D7" s="31" t="s">
        <v>1053</v>
      </c>
      <c r="E7" s="31" t="s">
        <v>1031</v>
      </c>
      <c r="F7" s="31" t="s">
        <v>15</v>
      </c>
      <c r="G7" s="31" t="s">
        <v>16</v>
      </c>
      <c r="H7" s="31" t="s">
        <v>1032</v>
      </c>
      <c r="I7" s="32" t="s">
        <v>18</v>
      </c>
      <c r="J7" s="32">
        <v>3</v>
      </c>
      <c r="K7" s="32"/>
      <c r="L7" s="43">
        <v>8000000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</row>
    <row r="8" spans="1:19" x14ac:dyDescent="0.25">
      <c r="A8" s="31" t="s">
        <v>1054</v>
      </c>
      <c r="B8" s="31" t="s">
        <v>290</v>
      </c>
      <c r="C8" s="31" t="s">
        <v>776</v>
      </c>
      <c r="D8" s="31" t="s">
        <v>636</v>
      </c>
      <c r="E8" s="31" t="s">
        <v>1031</v>
      </c>
      <c r="F8" s="31" t="s">
        <v>15</v>
      </c>
      <c r="G8" s="31" t="s">
        <v>16</v>
      </c>
      <c r="H8" s="31" t="s">
        <v>1032</v>
      </c>
      <c r="I8" s="32" t="s">
        <v>18</v>
      </c>
      <c r="J8" s="32">
        <v>3</v>
      </c>
      <c r="K8" s="32"/>
      <c r="L8" s="43">
        <v>7000000</v>
      </c>
      <c r="M8" s="43">
        <v>8000000</v>
      </c>
      <c r="N8" s="43">
        <v>8000000</v>
      </c>
      <c r="O8" s="43">
        <v>7000000</v>
      </c>
      <c r="P8" s="43">
        <v>7300000</v>
      </c>
      <c r="Q8" s="43">
        <v>7600000</v>
      </c>
    </row>
    <row r="9" spans="1:19" x14ac:dyDescent="0.25">
      <c r="A9" s="52" t="s">
        <v>2130</v>
      </c>
      <c r="B9" s="31"/>
      <c r="C9" s="31"/>
      <c r="D9" s="31" t="s">
        <v>1732</v>
      </c>
      <c r="E9" s="31"/>
      <c r="F9" s="31"/>
      <c r="G9" s="31"/>
      <c r="H9" s="31"/>
      <c r="I9" s="32"/>
      <c r="J9" s="32"/>
      <c r="K9" s="32"/>
      <c r="L9" s="43">
        <v>1000000</v>
      </c>
      <c r="M9" s="43">
        <v>200000</v>
      </c>
      <c r="N9" s="43">
        <v>200000</v>
      </c>
      <c r="O9" s="43">
        <v>600000</v>
      </c>
      <c r="P9" s="43">
        <v>626000</v>
      </c>
      <c r="Q9" s="43">
        <v>654000</v>
      </c>
    </row>
    <row r="10" spans="1:19" x14ac:dyDescent="0.25">
      <c r="A10" s="31" t="s">
        <v>2051</v>
      </c>
      <c r="B10" s="31"/>
      <c r="C10" s="31"/>
      <c r="D10" s="103" t="s">
        <v>2052</v>
      </c>
      <c r="E10" s="31"/>
      <c r="F10" s="31"/>
      <c r="G10" s="31"/>
      <c r="H10" s="31"/>
      <c r="I10" s="32"/>
      <c r="J10" s="32"/>
      <c r="K10" s="32"/>
      <c r="L10" s="43">
        <v>50000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</row>
    <row r="11" spans="1:19" x14ac:dyDescent="0.25">
      <c r="A11" s="142" t="s">
        <v>2176</v>
      </c>
      <c r="B11" s="31"/>
      <c r="C11" s="31"/>
      <c r="D11" s="103" t="s">
        <v>2115</v>
      </c>
      <c r="E11" s="31"/>
      <c r="F11" s="31"/>
      <c r="G11" s="31"/>
      <c r="H11" s="31"/>
      <c r="I11" s="131"/>
      <c r="J11" s="131"/>
      <c r="K11" s="131"/>
      <c r="L11" s="43">
        <v>180000</v>
      </c>
      <c r="M11" s="43">
        <v>180000</v>
      </c>
      <c r="N11" s="43">
        <v>180000</v>
      </c>
      <c r="O11" s="43">
        <v>200000</v>
      </c>
      <c r="P11" s="43">
        <v>208000</v>
      </c>
      <c r="Q11" s="43">
        <v>217000</v>
      </c>
    </row>
    <row r="12" spans="1:19" x14ac:dyDescent="0.25">
      <c r="A12" s="31"/>
      <c r="B12" s="31"/>
      <c r="C12" s="31"/>
      <c r="D12" s="31"/>
      <c r="E12" s="31"/>
      <c r="F12" s="31"/>
      <c r="G12" s="31"/>
      <c r="H12" s="31"/>
      <c r="I12" s="32"/>
      <c r="J12" s="32"/>
      <c r="K12" s="32"/>
    </row>
    <row r="13" spans="1:19" x14ac:dyDescent="0.25">
      <c r="A13" s="95"/>
      <c r="B13" s="95"/>
      <c r="C13" s="95"/>
      <c r="D13" s="95" t="s">
        <v>1609</v>
      </c>
      <c r="E13" s="95"/>
      <c r="F13" s="95"/>
      <c r="G13" s="95"/>
      <c r="H13" s="95"/>
      <c r="L13" s="96">
        <f t="shared" ref="L13:Q13" si="0">SUM(L6:L11)</f>
        <v>18230000</v>
      </c>
      <c r="M13" s="96">
        <f t="shared" si="0"/>
        <v>8740000</v>
      </c>
      <c r="N13" s="96">
        <f t="shared" si="0"/>
        <v>8740000</v>
      </c>
      <c r="O13" s="96">
        <f t="shared" si="0"/>
        <v>8300000</v>
      </c>
      <c r="P13" s="96">
        <f t="shared" si="0"/>
        <v>8654000</v>
      </c>
      <c r="Q13" s="96">
        <f t="shared" si="0"/>
        <v>9011000</v>
      </c>
    </row>
    <row r="14" spans="1:19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32"/>
      <c r="K14" s="32"/>
    </row>
    <row r="15" spans="1:19" x14ac:dyDescent="0.25">
      <c r="A15" s="31" t="s">
        <v>1042</v>
      </c>
      <c r="B15" s="31" t="s">
        <v>11</v>
      </c>
      <c r="C15" s="31" t="s">
        <v>12</v>
      </c>
      <c r="D15" s="31" t="s">
        <v>157</v>
      </c>
      <c r="E15" s="31" t="s">
        <v>1031</v>
      </c>
      <c r="F15" s="31" t="s">
        <v>15</v>
      </c>
      <c r="G15" s="31" t="s">
        <v>16</v>
      </c>
      <c r="H15" s="31" t="s">
        <v>1032</v>
      </c>
      <c r="I15" s="32" t="s">
        <v>18</v>
      </c>
      <c r="J15" s="32">
        <v>3</v>
      </c>
      <c r="K15" s="32"/>
      <c r="L15" s="34">
        <v>12215613.475919999</v>
      </c>
      <c r="M15" s="34">
        <v>11949761.059999999</v>
      </c>
      <c r="N15" s="34">
        <v>11949761.059999999</v>
      </c>
      <c r="O15" s="34">
        <f>S15</f>
        <v>12688052.193360001</v>
      </c>
      <c r="P15" s="34">
        <f>O15*1.044</f>
        <v>13246326.489867842</v>
      </c>
      <c r="Q15" s="34">
        <f>P15*1.045</f>
        <v>13842411.181911893</v>
      </c>
      <c r="S15" s="145">
        <f>'[1]6607VEH'!$E$43</f>
        <v>12688052.193360001</v>
      </c>
    </row>
    <row r="16" spans="1:19" s="107" customFormat="1" x14ac:dyDescent="0.25">
      <c r="A16" s="52" t="s">
        <v>2087</v>
      </c>
      <c r="B16" s="52" t="s">
        <v>11</v>
      </c>
      <c r="C16" s="52" t="s">
        <v>12</v>
      </c>
      <c r="D16" s="52" t="s">
        <v>86</v>
      </c>
      <c r="E16" s="52" t="s">
        <v>635</v>
      </c>
      <c r="F16" s="52" t="s">
        <v>295</v>
      </c>
      <c r="G16" s="52" t="s">
        <v>16</v>
      </c>
      <c r="H16" s="52" t="s">
        <v>789</v>
      </c>
      <c r="I16" s="104" t="s">
        <v>38</v>
      </c>
      <c r="J16" s="104">
        <v>1</v>
      </c>
      <c r="K16" s="104"/>
      <c r="L16" s="34">
        <v>48741.96</v>
      </c>
      <c r="M16" s="34">
        <v>48741.96</v>
      </c>
      <c r="N16" s="34">
        <v>48741.96</v>
      </c>
      <c r="O16" s="34">
        <f t="shared" ref="O16:O28" si="1">S16</f>
        <v>48741.96</v>
      </c>
      <c r="P16" s="34">
        <f t="shared" ref="P16:P28" si="2">O16*1.044</f>
        <v>50886.606240000001</v>
      </c>
      <c r="Q16" s="34">
        <f t="shared" ref="Q16:Q28" si="3">P16*1.045</f>
        <v>53176.503520799997</v>
      </c>
      <c r="S16" s="145">
        <f>'[1]6607VEH'!$G$43</f>
        <v>48741.96</v>
      </c>
    </row>
    <row r="17" spans="1:19" x14ac:dyDescent="0.25">
      <c r="A17" s="31" t="s">
        <v>1037</v>
      </c>
      <c r="B17" s="31" t="s">
        <v>11</v>
      </c>
      <c r="C17" s="31" t="s">
        <v>12</v>
      </c>
      <c r="D17" s="31" t="s">
        <v>1638</v>
      </c>
      <c r="E17" s="31" t="s">
        <v>1031</v>
      </c>
      <c r="F17" s="31" t="s">
        <v>15</v>
      </c>
      <c r="G17" s="31" t="s">
        <v>16</v>
      </c>
      <c r="H17" s="31" t="s">
        <v>1032</v>
      </c>
      <c r="I17" s="32" t="s">
        <v>18</v>
      </c>
      <c r="J17" s="32">
        <v>3</v>
      </c>
      <c r="K17" s="32"/>
      <c r="L17" s="34">
        <v>500000</v>
      </c>
      <c r="M17" s="34">
        <v>800000</v>
      </c>
      <c r="N17" s="34">
        <v>800000</v>
      </c>
      <c r="O17" s="34">
        <v>800000</v>
      </c>
      <c r="P17" s="34">
        <f t="shared" si="2"/>
        <v>835200</v>
      </c>
      <c r="Q17" s="34">
        <f t="shared" si="3"/>
        <v>872783.99999999988</v>
      </c>
      <c r="S17" s="145"/>
    </row>
    <row r="18" spans="1:19" x14ac:dyDescent="0.25">
      <c r="A18" s="31" t="s">
        <v>1038</v>
      </c>
      <c r="B18" s="31" t="s">
        <v>11</v>
      </c>
      <c r="C18" s="31" t="s">
        <v>12</v>
      </c>
      <c r="D18" s="31" t="s">
        <v>153</v>
      </c>
      <c r="E18" s="31" t="s">
        <v>1031</v>
      </c>
      <c r="F18" s="31" t="s">
        <v>15</v>
      </c>
      <c r="G18" s="31" t="s">
        <v>16</v>
      </c>
      <c r="H18" s="31" t="s">
        <v>1032</v>
      </c>
      <c r="I18" s="32" t="s">
        <v>18</v>
      </c>
      <c r="J18" s="32">
        <v>3</v>
      </c>
      <c r="K18" s="32"/>
      <c r="L18" s="34">
        <v>1017967.7896599997</v>
      </c>
      <c r="M18" s="34">
        <v>1046986.7</v>
      </c>
      <c r="N18" s="34">
        <v>1046986.7</v>
      </c>
      <c r="O18" s="34">
        <f t="shared" si="1"/>
        <v>1057337.6827799999</v>
      </c>
      <c r="P18" s="34">
        <f t="shared" si="2"/>
        <v>1103860.5408223199</v>
      </c>
      <c r="Q18" s="34">
        <f t="shared" si="3"/>
        <v>1153534.2651593243</v>
      </c>
      <c r="S18" s="145">
        <f>'[1]6607VEH'!$I$43</f>
        <v>1057337.6827799999</v>
      </c>
    </row>
    <row r="19" spans="1:19" x14ac:dyDescent="0.25">
      <c r="A19" s="31" t="s">
        <v>1039</v>
      </c>
      <c r="B19" s="31" t="s">
        <v>11</v>
      </c>
      <c r="C19" s="31" t="s">
        <v>12</v>
      </c>
      <c r="D19" s="31" t="s">
        <v>155</v>
      </c>
      <c r="E19" s="31" t="s">
        <v>1031</v>
      </c>
      <c r="F19" s="31" t="s">
        <v>15</v>
      </c>
      <c r="G19" s="31" t="s">
        <v>16</v>
      </c>
      <c r="H19" s="31" t="s">
        <v>1032</v>
      </c>
      <c r="I19" s="32" t="s">
        <v>18</v>
      </c>
      <c r="J19" s="32">
        <v>3</v>
      </c>
      <c r="K19" s="32"/>
      <c r="L19" s="34">
        <v>68837.71358879999</v>
      </c>
      <c r="M19" s="34">
        <v>59952.453647999995</v>
      </c>
      <c r="N19" s="34">
        <v>59952.453647999995</v>
      </c>
      <c r="O19" s="34">
        <f t="shared" si="1"/>
        <v>234692.64</v>
      </c>
      <c r="P19" s="34">
        <f t="shared" si="2"/>
        <v>245019.11616000003</v>
      </c>
      <c r="Q19" s="34">
        <f t="shared" si="3"/>
        <v>256044.9763872</v>
      </c>
      <c r="S19" s="145">
        <f>'[2]6607VEH'!$J$43</f>
        <v>234692.64</v>
      </c>
    </row>
    <row r="20" spans="1:19" x14ac:dyDescent="0.25">
      <c r="A20" s="31" t="s">
        <v>1035</v>
      </c>
      <c r="B20" s="31" t="s">
        <v>11</v>
      </c>
      <c r="C20" s="31" t="s">
        <v>12</v>
      </c>
      <c r="D20" s="31" t="s">
        <v>41</v>
      </c>
      <c r="E20" s="31" t="s">
        <v>1031</v>
      </c>
      <c r="F20" s="31" t="s">
        <v>15</v>
      </c>
      <c r="G20" s="31" t="s">
        <v>16</v>
      </c>
      <c r="H20" s="31" t="s">
        <v>1032</v>
      </c>
      <c r="I20" s="32" t="s">
        <v>18</v>
      </c>
      <c r="J20" s="32">
        <v>3</v>
      </c>
      <c r="K20" s="32"/>
      <c r="L20" s="34">
        <v>2687434.9647024004</v>
      </c>
      <c r="M20" s="34">
        <v>2497342.5860000001</v>
      </c>
      <c r="N20" s="34">
        <v>2497342.5860000001</v>
      </c>
      <c r="O20" s="34">
        <f t="shared" si="1"/>
        <v>2791371.4825392002</v>
      </c>
      <c r="P20" s="34">
        <f t="shared" si="2"/>
        <v>2914191.8277709251</v>
      </c>
      <c r="Q20" s="34">
        <f t="shared" si="3"/>
        <v>3045330.4600206167</v>
      </c>
      <c r="S20" s="145">
        <f>'[1]6607VEH'!$K$43</f>
        <v>2791371.4825392002</v>
      </c>
    </row>
    <row r="21" spans="1:19" x14ac:dyDescent="0.25">
      <c r="A21" s="31" t="s">
        <v>1034</v>
      </c>
      <c r="B21" s="31" t="s">
        <v>11</v>
      </c>
      <c r="C21" s="31" t="s">
        <v>12</v>
      </c>
      <c r="D21" s="31" t="s">
        <v>36</v>
      </c>
      <c r="E21" s="31" t="s">
        <v>1031</v>
      </c>
      <c r="F21" s="31" t="s">
        <v>15</v>
      </c>
      <c r="G21" s="31" t="s">
        <v>16</v>
      </c>
      <c r="H21" s="31" t="s">
        <v>1032</v>
      </c>
      <c r="I21" s="32" t="s">
        <v>18</v>
      </c>
      <c r="J21" s="32">
        <v>3</v>
      </c>
      <c r="K21" s="32"/>
      <c r="L21" s="34">
        <v>918056.16000000015</v>
      </c>
      <c r="M21" s="34">
        <v>957015.96</v>
      </c>
      <c r="N21" s="34">
        <v>957015.96</v>
      </c>
      <c r="O21" s="34">
        <f t="shared" si="1"/>
        <v>931001.76</v>
      </c>
      <c r="P21" s="34">
        <f t="shared" si="2"/>
        <v>971965.83744000003</v>
      </c>
      <c r="Q21" s="34">
        <f t="shared" si="3"/>
        <v>1015704.3001247999</v>
      </c>
      <c r="S21" s="145">
        <f>'[1]6607VEH'!$L$43</f>
        <v>931001.76</v>
      </c>
    </row>
    <row r="22" spans="1:19" x14ac:dyDescent="0.25">
      <c r="A22" s="31" t="s">
        <v>1041</v>
      </c>
      <c r="B22" s="31" t="s">
        <v>11</v>
      </c>
      <c r="C22" s="31" t="s">
        <v>12</v>
      </c>
      <c r="D22" s="31" t="s">
        <v>47</v>
      </c>
      <c r="E22" s="31" t="s">
        <v>1031</v>
      </c>
      <c r="F22" s="31" t="s">
        <v>15</v>
      </c>
      <c r="G22" s="31" t="s">
        <v>16</v>
      </c>
      <c r="H22" s="31" t="s">
        <v>1032</v>
      </c>
      <c r="I22" s="32" t="s">
        <v>18</v>
      </c>
      <c r="J22" s="32">
        <v>3</v>
      </c>
      <c r="K22" s="32"/>
      <c r="L22" s="34">
        <v>1023771.84</v>
      </c>
      <c r="M22" s="34">
        <v>1223222.46</v>
      </c>
      <c r="N22" s="34">
        <v>1223222.46</v>
      </c>
      <c r="O22" s="34">
        <f t="shared" si="1"/>
        <v>1111524.4281599999</v>
      </c>
      <c r="P22" s="34">
        <f t="shared" si="2"/>
        <v>1160431.5029990398</v>
      </c>
      <c r="Q22" s="34">
        <f t="shared" si="3"/>
        <v>1212650.9206339966</v>
      </c>
      <c r="S22" s="145">
        <f>'[1]6607VEH'!$M$43</f>
        <v>1111524.4281599999</v>
      </c>
    </row>
    <row r="23" spans="1:19" x14ac:dyDescent="0.25">
      <c r="A23" s="31" t="s">
        <v>1062</v>
      </c>
      <c r="B23" s="31" t="s">
        <v>11</v>
      </c>
      <c r="C23" s="31" t="s">
        <v>12</v>
      </c>
      <c r="D23" s="31" t="s">
        <v>45</v>
      </c>
      <c r="E23" s="31" t="s">
        <v>635</v>
      </c>
      <c r="F23" s="31" t="s">
        <v>37</v>
      </c>
      <c r="G23" s="31" t="s">
        <v>16</v>
      </c>
      <c r="H23" s="31" t="s">
        <v>789</v>
      </c>
      <c r="I23" s="32" t="s">
        <v>38</v>
      </c>
      <c r="J23" s="32">
        <v>3</v>
      </c>
      <c r="K23" s="32"/>
      <c r="L23" s="34">
        <v>151546.56</v>
      </c>
      <c r="M23" s="34">
        <v>160957.58999999997</v>
      </c>
      <c r="N23" s="34">
        <v>160957.58999999997</v>
      </c>
      <c r="O23" s="34">
        <f t="shared" si="1"/>
        <v>164408.59511999998</v>
      </c>
      <c r="P23" s="34">
        <f t="shared" si="2"/>
        <v>171642.57330527998</v>
      </c>
      <c r="Q23" s="34">
        <f t="shared" si="3"/>
        <v>179366.48910401756</v>
      </c>
      <c r="S23" s="145">
        <f>'[1]6607VEH'!$N$43</f>
        <v>164408.59511999998</v>
      </c>
    </row>
    <row r="24" spans="1:19" x14ac:dyDescent="0.25">
      <c r="A24" s="31" t="s">
        <v>1040</v>
      </c>
      <c r="B24" s="31" t="s">
        <v>11</v>
      </c>
      <c r="C24" s="31" t="s">
        <v>12</v>
      </c>
      <c r="D24" s="31" t="s">
        <v>156</v>
      </c>
      <c r="E24" s="31" t="s">
        <v>1031</v>
      </c>
      <c r="F24" s="31" t="s">
        <v>15</v>
      </c>
      <c r="G24" s="31" t="s">
        <v>16</v>
      </c>
      <c r="H24" s="31" t="s">
        <v>1032</v>
      </c>
      <c r="I24" s="32" t="s">
        <v>18</v>
      </c>
      <c r="J24" s="32">
        <v>3</v>
      </c>
      <c r="K24" s="32"/>
      <c r="L24" s="34">
        <v>84988.763159999988</v>
      </c>
      <c r="M24" s="34">
        <v>81018.84</v>
      </c>
      <c r="N24" s="34">
        <v>81018.84</v>
      </c>
      <c r="O24" s="34">
        <f t="shared" si="1"/>
        <v>84988.763159999988</v>
      </c>
      <c r="P24" s="34">
        <f t="shared" si="2"/>
        <v>88728.268739039995</v>
      </c>
      <c r="Q24" s="34">
        <f t="shared" si="3"/>
        <v>92721.040832296785</v>
      </c>
      <c r="S24" s="145">
        <f>'[1]6607VEH'!$Q$43</f>
        <v>84988.763159999988</v>
      </c>
    </row>
    <row r="25" spans="1:19" x14ac:dyDescent="0.25">
      <c r="A25" s="31" t="s">
        <v>1033</v>
      </c>
      <c r="B25" s="31" t="s">
        <v>11</v>
      </c>
      <c r="C25" s="31" t="s">
        <v>12</v>
      </c>
      <c r="D25" s="31" t="s">
        <v>151</v>
      </c>
      <c r="E25" s="31" t="s">
        <v>1031</v>
      </c>
      <c r="F25" s="31" t="s">
        <v>15</v>
      </c>
      <c r="G25" s="31" t="s">
        <v>16</v>
      </c>
      <c r="H25" s="31" t="s">
        <v>1032</v>
      </c>
      <c r="I25" s="32" t="s">
        <v>18</v>
      </c>
      <c r="J25" s="32">
        <v>3</v>
      </c>
      <c r="K25" s="32"/>
      <c r="L25" s="34">
        <v>4633.2000000000035</v>
      </c>
      <c r="M25" s="34">
        <v>4470.1999999999989</v>
      </c>
      <c r="N25" s="34">
        <v>4470.1999999999989</v>
      </c>
      <c r="O25" s="34">
        <f t="shared" si="1"/>
        <v>4820.3999999999996</v>
      </c>
      <c r="P25" s="34">
        <f t="shared" si="2"/>
        <v>5032.4975999999997</v>
      </c>
      <c r="Q25" s="34">
        <f t="shared" si="3"/>
        <v>5258.9599919999991</v>
      </c>
      <c r="S25" s="145">
        <f>'[1]6607VEH'!$S$43</f>
        <v>4820.3999999999996</v>
      </c>
    </row>
    <row r="26" spans="1:19" x14ac:dyDescent="0.25">
      <c r="A26" s="31" t="s">
        <v>1036</v>
      </c>
      <c r="B26" s="31" t="s">
        <v>11</v>
      </c>
      <c r="C26" s="31" t="s">
        <v>12</v>
      </c>
      <c r="D26" s="31" t="s">
        <v>43</v>
      </c>
      <c r="E26" s="31" t="s">
        <v>1031</v>
      </c>
      <c r="F26" s="31" t="s">
        <v>15</v>
      </c>
      <c r="G26" s="31" t="s">
        <v>16</v>
      </c>
      <c r="H26" s="31" t="s">
        <v>1032</v>
      </c>
      <c r="I26" s="32" t="s">
        <v>18</v>
      </c>
      <c r="J26" s="32">
        <v>3</v>
      </c>
      <c r="K26" s="32"/>
      <c r="L26" s="34">
        <v>58397.040000000015</v>
      </c>
      <c r="M26" s="34">
        <v>86256.054425855997</v>
      </c>
      <c r="N26" s="34">
        <v>86256.054425855997</v>
      </c>
      <c r="O26" s="34">
        <f t="shared" si="1"/>
        <v>58397.040000000015</v>
      </c>
      <c r="P26" s="34">
        <f t="shared" si="2"/>
        <v>60966.509760000015</v>
      </c>
      <c r="Q26" s="34">
        <f t="shared" si="3"/>
        <v>63710.002699200013</v>
      </c>
      <c r="S26" s="145">
        <f>'[1]6607VEH'!$U$43</f>
        <v>58397.040000000015</v>
      </c>
    </row>
    <row r="27" spans="1:19" x14ac:dyDescent="0.25">
      <c r="A27" s="31" t="s">
        <v>2127</v>
      </c>
      <c r="C27" s="31" t="s">
        <v>12</v>
      </c>
      <c r="D27" s="31" t="s">
        <v>162</v>
      </c>
      <c r="E27" s="31" t="s">
        <v>1031</v>
      </c>
      <c r="L27" s="34">
        <v>302615.54860032001</v>
      </c>
      <c r="M27" s="34">
        <v>289418.14088448003</v>
      </c>
      <c r="N27" s="34">
        <v>289418.14088448003</v>
      </c>
      <c r="O27" s="34">
        <f t="shared" si="1"/>
        <v>267305.15819136001</v>
      </c>
      <c r="P27" s="34">
        <f t="shared" si="2"/>
        <v>279066.58515177987</v>
      </c>
      <c r="Q27" s="34">
        <f t="shared" si="3"/>
        <v>291624.58148360997</v>
      </c>
      <c r="S27" s="145">
        <f>'[1]6607VEH'!$F$43</f>
        <v>267305.15819136001</v>
      </c>
    </row>
    <row r="28" spans="1:19" x14ac:dyDescent="0.25">
      <c r="A28" s="31" t="s">
        <v>2177</v>
      </c>
      <c r="C28" s="31"/>
      <c r="D28" s="31" t="s">
        <v>2175</v>
      </c>
      <c r="E28" s="31"/>
      <c r="L28" s="34">
        <v>10000</v>
      </c>
      <c r="M28" s="34">
        <v>24000</v>
      </c>
      <c r="N28" s="34">
        <v>24000</v>
      </c>
      <c r="O28" s="34">
        <f t="shared" si="1"/>
        <v>48000</v>
      </c>
      <c r="P28" s="34">
        <f t="shared" si="2"/>
        <v>50112</v>
      </c>
      <c r="Q28" s="34">
        <f t="shared" si="3"/>
        <v>52367.039999999994</v>
      </c>
      <c r="S28" s="145">
        <f>'[1]6607VEH'!$P$43</f>
        <v>48000</v>
      </c>
    </row>
    <row r="29" spans="1:19" x14ac:dyDescent="0.25">
      <c r="A29" s="31"/>
      <c r="C29" s="31"/>
      <c r="D29" s="31"/>
      <c r="E29" s="31"/>
      <c r="S29" s="145"/>
    </row>
    <row r="30" spans="1:19" x14ac:dyDescent="0.25">
      <c r="A30" s="31" t="s">
        <v>1030</v>
      </c>
      <c r="B30" s="31" t="s">
        <v>11</v>
      </c>
      <c r="C30" s="31" t="s">
        <v>12</v>
      </c>
      <c r="D30" s="31" t="s">
        <v>30</v>
      </c>
      <c r="E30" s="31" t="s">
        <v>1031</v>
      </c>
      <c r="F30" s="31" t="s">
        <v>15</v>
      </c>
      <c r="G30" s="31" t="s">
        <v>16</v>
      </c>
      <c r="H30" s="31" t="s">
        <v>1032</v>
      </c>
      <c r="I30" s="32" t="s">
        <v>18</v>
      </c>
      <c r="J30" s="32">
        <v>3</v>
      </c>
      <c r="K30" s="32"/>
      <c r="L30" s="34">
        <v>122156.13475919999</v>
      </c>
      <c r="M30" s="34">
        <v>138093.17799999999</v>
      </c>
      <c r="N30" s="34">
        <v>138093.17799999999</v>
      </c>
      <c r="O30" s="34">
        <f>S30</f>
        <v>126880.52193360002</v>
      </c>
      <c r="P30" s="34">
        <f>O30*1.044</f>
        <v>132463.26489867843</v>
      </c>
      <c r="Q30" s="34">
        <f>P30*1.045</f>
        <v>138424.11181911896</v>
      </c>
      <c r="S30" s="145">
        <f>'[1]6607VEH'!$R$43</f>
        <v>126880.52193360002</v>
      </c>
    </row>
    <row r="31" spans="1:19" x14ac:dyDescent="0.25">
      <c r="A31" s="31" t="s">
        <v>1047</v>
      </c>
      <c r="B31" s="31" t="s">
        <v>11</v>
      </c>
      <c r="C31" s="31" t="s">
        <v>12</v>
      </c>
      <c r="D31" s="31" t="s">
        <v>20</v>
      </c>
      <c r="E31" s="31" t="s">
        <v>1031</v>
      </c>
      <c r="F31" s="31" t="s">
        <v>15</v>
      </c>
      <c r="G31" s="31" t="s">
        <v>16</v>
      </c>
      <c r="H31" s="31" t="s">
        <v>1032</v>
      </c>
      <c r="I31" s="32" t="s">
        <v>18</v>
      </c>
      <c r="J31" s="32">
        <v>3</v>
      </c>
      <c r="K31" s="32"/>
      <c r="L31" s="43">
        <v>6500</v>
      </c>
      <c r="M31" s="43">
        <v>6500</v>
      </c>
      <c r="N31" s="43">
        <v>6500</v>
      </c>
      <c r="O31" s="43">
        <v>6600</v>
      </c>
      <c r="P31" s="43">
        <v>6700</v>
      </c>
      <c r="Q31" s="43">
        <v>6800</v>
      </c>
    </row>
    <row r="32" spans="1:19" x14ac:dyDescent="0.25">
      <c r="A32" s="31" t="s">
        <v>1049</v>
      </c>
      <c r="B32" s="31" t="s">
        <v>11</v>
      </c>
      <c r="C32" s="31" t="s">
        <v>12</v>
      </c>
      <c r="D32" s="31" t="s">
        <v>24</v>
      </c>
      <c r="E32" s="31" t="s">
        <v>1031</v>
      </c>
      <c r="F32" s="31" t="s">
        <v>15</v>
      </c>
      <c r="G32" s="31" t="s">
        <v>16</v>
      </c>
      <c r="H32" s="31" t="s">
        <v>1032</v>
      </c>
      <c r="I32" s="32" t="s">
        <v>18</v>
      </c>
      <c r="J32" s="32">
        <v>3</v>
      </c>
      <c r="K32" s="32"/>
      <c r="L32" s="43">
        <v>7000</v>
      </c>
      <c r="M32" s="43">
        <v>7500</v>
      </c>
      <c r="N32" s="43">
        <v>7500</v>
      </c>
      <c r="O32" s="43">
        <v>7500</v>
      </c>
      <c r="P32" s="43">
        <v>7600</v>
      </c>
      <c r="Q32" s="43">
        <v>7700</v>
      </c>
    </row>
    <row r="33" spans="1:19" x14ac:dyDescent="0.25">
      <c r="A33" s="31" t="s">
        <v>1044</v>
      </c>
      <c r="B33" s="31" t="s">
        <v>11</v>
      </c>
      <c r="C33" s="31" t="s">
        <v>12</v>
      </c>
      <c r="D33" s="31" t="s">
        <v>28</v>
      </c>
      <c r="E33" s="31" t="s">
        <v>1031</v>
      </c>
      <c r="F33" s="31" t="s">
        <v>15</v>
      </c>
      <c r="G33" s="31" t="s">
        <v>16</v>
      </c>
      <c r="H33" s="31" t="s">
        <v>1032</v>
      </c>
      <c r="I33" s="32" t="s">
        <v>18</v>
      </c>
      <c r="J33" s="32">
        <v>3</v>
      </c>
      <c r="K33" s="32"/>
      <c r="L33" s="43">
        <v>80000</v>
      </c>
      <c r="M33" s="43">
        <v>60000</v>
      </c>
      <c r="N33" s="43">
        <v>60000</v>
      </c>
      <c r="O33" s="43">
        <v>65000</v>
      </c>
      <c r="P33" s="43">
        <v>70000</v>
      </c>
      <c r="Q33" s="43">
        <v>75000</v>
      </c>
    </row>
    <row r="34" spans="1:19" x14ac:dyDescent="0.25">
      <c r="A34" s="31" t="s">
        <v>1046</v>
      </c>
      <c r="B34" s="31" t="s">
        <v>11</v>
      </c>
      <c r="C34" s="31" t="s">
        <v>12</v>
      </c>
      <c r="D34" s="31" t="s">
        <v>13</v>
      </c>
      <c r="E34" s="31" t="s">
        <v>1031</v>
      </c>
      <c r="F34" s="31" t="s">
        <v>15</v>
      </c>
      <c r="G34" s="31" t="s">
        <v>16</v>
      </c>
      <c r="H34" s="31" t="s">
        <v>1032</v>
      </c>
      <c r="I34" s="32" t="s">
        <v>18</v>
      </c>
      <c r="J34" s="32">
        <v>3</v>
      </c>
      <c r="K34" s="32"/>
      <c r="L34" s="43">
        <v>60000</v>
      </c>
      <c r="M34" s="43">
        <v>60000</v>
      </c>
      <c r="N34" s="43">
        <v>60000</v>
      </c>
      <c r="O34" s="43">
        <v>65000</v>
      </c>
      <c r="P34" s="43">
        <v>70000</v>
      </c>
      <c r="Q34" s="43">
        <v>70000</v>
      </c>
    </row>
    <row r="35" spans="1:19" x14ac:dyDescent="0.25">
      <c r="A35" s="31" t="s">
        <v>1045</v>
      </c>
      <c r="B35" s="31" t="s">
        <v>11</v>
      </c>
      <c r="C35" s="31" t="s">
        <v>12</v>
      </c>
      <c r="D35" s="31" t="s">
        <v>32</v>
      </c>
      <c r="E35" s="31" t="s">
        <v>1031</v>
      </c>
      <c r="F35" s="31" t="s">
        <v>15</v>
      </c>
      <c r="G35" s="31" t="s">
        <v>16</v>
      </c>
      <c r="H35" s="31" t="s">
        <v>1032</v>
      </c>
      <c r="I35" s="32" t="s">
        <v>18</v>
      </c>
      <c r="J35" s="32">
        <v>3</v>
      </c>
      <c r="K35" s="32"/>
      <c r="L35" s="43">
        <v>2000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</row>
    <row r="36" spans="1:19" x14ac:dyDescent="0.25">
      <c r="A36" s="31" t="s">
        <v>1043</v>
      </c>
      <c r="B36" s="31" t="s">
        <v>11</v>
      </c>
      <c r="C36" s="31" t="s">
        <v>12</v>
      </c>
      <c r="D36" s="31" t="s">
        <v>26</v>
      </c>
      <c r="E36" s="31" t="s">
        <v>1031</v>
      </c>
      <c r="F36" s="31" t="s">
        <v>15</v>
      </c>
      <c r="G36" s="31" t="s">
        <v>16</v>
      </c>
      <c r="H36" s="31" t="s">
        <v>1032</v>
      </c>
      <c r="I36" s="32" t="s">
        <v>18</v>
      </c>
      <c r="J36" s="32">
        <v>3</v>
      </c>
      <c r="K36" s="32"/>
      <c r="L36" s="43">
        <v>2000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</row>
    <row r="37" spans="1:19" x14ac:dyDescent="0.25">
      <c r="A37" s="31" t="s">
        <v>1048</v>
      </c>
      <c r="B37" s="31" t="s">
        <v>11</v>
      </c>
      <c r="C37" s="31" t="s">
        <v>12</v>
      </c>
      <c r="D37" s="31" t="s">
        <v>22</v>
      </c>
      <c r="E37" s="31" t="s">
        <v>1031</v>
      </c>
      <c r="F37" s="31" t="s">
        <v>15</v>
      </c>
      <c r="G37" s="31" t="s">
        <v>16</v>
      </c>
      <c r="H37" s="31" t="s">
        <v>1032</v>
      </c>
      <c r="I37" s="32" t="s">
        <v>18</v>
      </c>
      <c r="J37" s="32">
        <v>3</v>
      </c>
      <c r="K37" s="32"/>
      <c r="L37" s="124">
        <v>20000</v>
      </c>
      <c r="M37" s="43">
        <v>18000</v>
      </c>
      <c r="N37" s="43">
        <v>18000</v>
      </c>
      <c r="O37" s="43">
        <v>20000</v>
      </c>
      <c r="P37" s="43">
        <v>22000</v>
      </c>
      <c r="Q37" s="43">
        <v>23000</v>
      </c>
    </row>
    <row r="38" spans="1:19" x14ac:dyDescent="0.25">
      <c r="A38" s="50" t="s">
        <v>1770</v>
      </c>
      <c r="B38" s="31"/>
      <c r="C38" s="31"/>
      <c r="D38" s="31" t="s">
        <v>1628</v>
      </c>
      <c r="E38" s="31"/>
      <c r="F38" s="31"/>
      <c r="G38" s="31"/>
      <c r="H38" s="31"/>
      <c r="I38" s="32"/>
      <c r="J38" s="32"/>
      <c r="K38" s="32"/>
      <c r="L38" s="43">
        <v>50000</v>
      </c>
      <c r="M38" s="43">
        <v>50000</v>
      </c>
      <c r="N38" s="43">
        <v>50000</v>
      </c>
      <c r="O38" s="43">
        <v>60000</v>
      </c>
      <c r="P38" s="43">
        <v>61000</v>
      </c>
      <c r="Q38" s="43">
        <v>62000</v>
      </c>
    </row>
    <row r="39" spans="1:19" x14ac:dyDescent="0.25">
      <c r="A39" s="50" t="s">
        <v>1771</v>
      </c>
      <c r="C39" s="31"/>
      <c r="D39" s="31" t="s">
        <v>1684</v>
      </c>
      <c r="E39" s="31"/>
      <c r="L39" s="43">
        <v>1000000</v>
      </c>
      <c r="M39" s="43">
        <v>0</v>
      </c>
      <c r="N39" s="43">
        <v>0</v>
      </c>
      <c r="O39" s="43">
        <v>500000</v>
      </c>
      <c r="P39" s="43">
        <v>550000</v>
      </c>
      <c r="Q39" s="43">
        <v>700000</v>
      </c>
    </row>
    <row r="40" spans="1:19" hidden="1" x14ac:dyDescent="0.25">
      <c r="A40" s="50" t="s">
        <v>2017</v>
      </c>
      <c r="C40" s="31"/>
      <c r="D40" s="31" t="s">
        <v>1877</v>
      </c>
      <c r="E40" s="31"/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</row>
    <row r="41" spans="1:19" x14ac:dyDescent="0.25">
      <c r="A41" s="31"/>
      <c r="C41" s="31"/>
      <c r="D41" s="31"/>
      <c r="E41" s="31"/>
      <c r="L41" s="34"/>
      <c r="M41" s="34"/>
      <c r="N41" s="34"/>
      <c r="O41" s="34"/>
      <c r="P41" s="34"/>
      <c r="Q41" s="34"/>
    </row>
    <row r="42" spans="1:19" x14ac:dyDescent="0.25">
      <c r="A42" s="71" t="s">
        <v>1050</v>
      </c>
      <c r="B42" s="31" t="s">
        <v>1051</v>
      </c>
      <c r="C42" s="31" t="s">
        <v>347</v>
      </c>
      <c r="D42" s="31" t="s">
        <v>1621</v>
      </c>
      <c r="E42" s="31" t="s">
        <v>1031</v>
      </c>
      <c r="F42" s="31" t="s">
        <v>15</v>
      </c>
      <c r="G42" s="31" t="s">
        <v>16</v>
      </c>
      <c r="H42" s="31" t="s">
        <v>1032</v>
      </c>
      <c r="I42" s="32" t="s">
        <v>18</v>
      </c>
      <c r="J42" s="32">
        <v>3</v>
      </c>
      <c r="K42" s="32"/>
      <c r="L42" s="43">
        <v>100000</v>
      </c>
      <c r="M42" s="43">
        <v>200000</v>
      </c>
      <c r="N42" s="43">
        <v>200000</v>
      </c>
      <c r="O42" s="43">
        <v>500000</v>
      </c>
      <c r="P42" s="43">
        <v>500000</v>
      </c>
      <c r="Q42" s="43">
        <v>500000</v>
      </c>
    </row>
    <row r="43" spans="1:19" x14ac:dyDescent="0.25">
      <c r="A43" s="31"/>
      <c r="C43" s="31"/>
      <c r="D43" s="31"/>
      <c r="E43" s="31"/>
      <c r="L43" s="54"/>
      <c r="M43" s="54"/>
      <c r="N43" s="54"/>
      <c r="O43" s="54"/>
      <c r="P43" s="54"/>
      <c r="Q43" s="54"/>
    </row>
    <row r="44" spans="1:19" s="107" customFormat="1" x14ac:dyDescent="0.25">
      <c r="A44" s="50" t="s">
        <v>1058</v>
      </c>
      <c r="B44" s="52" t="s">
        <v>1059</v>
      </c>
      <c r="C44" s="52" t="s">
        <v>354</v>
      </c>
      <c r="D44" s="52" t="s">
        <v>1622</v>
      </c>
      <c r="E44" s="52" t="s">
        <v>1031</v>
      </c>
      <c r="F44" s="52" t="s">
        <v>292</v>
      </c>
      <c r="G44" s="52" t="s">
        <v>16</v>
      </c>
      <c r="H44" s="52" t="s">
        <v>1032</v>
      </c>
      <c r="I44" s="104" t="s">
        <v>18</v>
      </c>
      <c r="J44" s="104">
        <v>3</v>
      </c>
      <c r="K44" s="104"/>
      <c r="L44" s="105">
        <v>500000</v>
      </c>
      <c r="M44" s="105">
        <v>800000</v>
      </c>
      <c r="N44" s="105">
        <v>800000</v>
      </c>
      <c r="O44" s="105">
        <v>300000</v>
      </c>
      <c r="P44" s="105">
        <v>0</v>
      </c>
      <c r="Q44" s="105">
        <v>0</v>
      </c>
      <c r="S44" s="106"/>
    </row>
    <row r="45" spans="1:19" s="107" customFormat="1" x14ac:dyDescent="0.25">
      <c r="A45" s="50" t="s">
        <v>1060</v>
      </c>
      <c r="B45" s="52" t="s">
        <v>1061</v>
      </c>
      <c r="C45" s="52" t="s">
        <v>354</v>
      </c>
      <c r="D45" s="52" t="s">
        <v>1623</v>
      </c>
      <c r="E45" s="52" t="s">
        <v>1031</v>
      </c>
      <c r="F45" s="52" t="s">
        <v>292</v>
      </c>
      <c r="G45" s="52" t="s">
        <v>16</v>
      </c>
      <c r="H45" s="52" t="s">
        <v>1032</v>
      </c>
      <c r="I45" s="104" t="s">
        <v>18</v>
      </c>
      <c r="J45" s="104">
        <v>3</v>
      </c>
      <c r="K45" s="104"/>
      <c r="L45" s="105">
        <v>250000</v>
      </c>
      <c r="M45" s="105">
        <v>0</v>
      </c>
      <c r="N45" s="105">
        <v>0</v>
      </c>
      <c r="O45" s="105">
        <v>300000</v>
      </c>
      <c r="P45" s="105">
        <v>0</v>
      </c>
      <c r="Q45" s="105">
        <v>0</v>
      </c>
      <c r="S45" s="106"/>
    </row>
    <row r="46" spans="1:19" x14ac:dyDescent="0.25">
      <c r="A46" s="31"/>
      <c r="C46" s="31"/>
      <c r="D46" s="31"/>
      <c r="E46" s="31"/>
    </row>
    <row r="47" spans="1:19" ht="15.75" thickBot="1" x14ac:dyDescent="0.3">
      <c r="A47" s="93" t="s">
        <v>1203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49">
        <f t="shared" ref="L47:Q47" si="4">SUM(L15:L46)</f>
        <v>21292261.150390718</v>
      </c>
      <c r="M47" s="49">
        <f>SUM(M15:M46)</f>
        <v>20569237.182958335</v>
      </c>
      <c r="N47" s="49">
        <f>SUM(N15:N46)</f>
        <v>20569237.182958335</v>
      </c>
      <c r="O47" s="49">
        <f t="shared" si="4"/>
        <v>22241622.625244167</v>
      </c>
      <c r="P47" s="49">
        <f t="shared" si="4"/>
        <v>22603193.620754909</v>
      </c>
      <c r="Q47" s="49">
        <f t="shared" si="4"/>
        <v>23719608.833688874</v>
      </c>
    </row>
  </sheetData>
  <sortState xmlns:xlrd2="http://schemas.microsoft.com/office/spreadsheetml/2017/richdata2" ref="A2:Z32">
    <sortCondition ref="D2:D32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V36"/>
  <sheetViews>
    <sheetView tabSelected="1" topLeftCell="D1" zoomScale="116" zoomScaleNormal="116" workbookViewId="0">
      <pane ySplit="4" topLeftCell="A5" activePane="bottomLeft" state="frozen"/>
      <selection activeCell="F10" sqref="F10"/>
      <selection pane="bottomLeft" activeCell="D16" sqref="D16"/>
    </sheetView>
  </sheetViews>
  <sheetFormatPr defaultColWidth="9.125" defaultRowHeight="15" x14ac:dyDescent="0.25"/>
  <cols>
    <col min="1" max="1" width="62" style="35" customWidth="1"/>
    <col min="2" max="2" width="32.125" style="35" hidden="1" customWidth="1"/>
    <col min="3" max="3" width="4" style="35" hidden="1" customWidth="1"/>
    <col min="4" max="4" width="37.625" style="35" customWidth="1"/>
    <col min="5" max="11" width="9.125" style="35" hidden="1" customWidth="1"/>
    <col min="12" max="12" width="13.875" style="35" bestFit="1" customWidth="1"/>
    <col min="13" max="13" width="12.625" style="35" bestFit="1" customWidth="1"/>
    <col min="14" max="17" width="12.625" style="171" customWidth="1"/>
    <col min="18" max="18" width="9.125" style="35"/>
    <col min="19" max="19" width="12.625" style="37" bestFit="1" customWidth="1"/>
    <col min="20" max="16384" width="9.125" style="35"/>
  </cols>
  <sheetData>
    <row r="1" spans="1:22" ht="15.75" x14ac:dyDescent="0.25">
      <c r="D1" s="72" t="s">
        <v>1597</v>
      </c>
      <c r="E1" s="72"/>
      <c r="F1" s="72"/>
      <c r="G1" s="72"/>
    </row>
    <row r="2" spans="1:22" ht="15.75" x14ac:dyDescent="0.25">
      <c r="D2" s="19" t="s">
        <v>2342</v>
      </c>
      <c r="E2" s="46"/>
      <c r="F2" s="72"/>
      <c r="G2" s="72"/>
    </row>
    <row r="3" spans="1:22" ht="15.75" x14ac:dyDescent="0.25">
      <c r="D3" s="72" t="s">
        <v>1748</v>
      </c>
      <c r="E3" s="72"/>
      <c r="F3" s="72"/>
      <c r="G3" s="72"/>
    </row>
    <row r="4" spans="1:22" ht="66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  <c r="R4" s="48"/>
      <c r="S4" s="48"/>
      <c r="T4" s="48"/>
      <c r="V4" s="37"/>
    </row>
    <row r="5" spans="1:22" x14ac:dyDescent="0.25">
      <c r="A5" s="31" t="s">
        <v>1072</v>
      </c>
      <c r="B5" s="31" t="s">
        <v>11</v>
      </c>
      <c r="C5" s="31" t="s">
        <v>12</v>
      </c>
      <c r="D5" s="31" t="s">
        <v>157</v>
      </c>
      <c r="E5" s="31" t="s">
        <v>726</v>
      </c>
      <c r="F5" s="31" t="s">
        <v>15</v>
      </c>
      <c r="G5" s="31" t="s">
        <v>16</v>
      </c>
      <c r="H5" s="31" t="s">
        <v>727</v>
      </c>
      <c r="I5" s="32" t="s">
        <v>18</v>
      </c>
      <c r="J5" s="32">
        <v>3</v>
      </c>
      <c r="K5" s="32"/>
      <c r="L5" s="34">
        <v>2205304.81152</v>
      </c>
      <c r="M5" s="34">
        <v>1325355</v>
      </c>
      <c r="N5" s="34">
        <v>1325355</v>
      </c>
      <c r="O5" s="34">
        <f>S5</f>
        <v>2313683.8409999995</v>
      </c>
      <c r="P5" s="34">
        <f>O5*1.044</f>
        <v>2415485.9300039997</v>
      </c>
      <c r="Q5" s="34">
        <f>P5*1.045</f>
        <v>2524182.7968541794</v>
      </c>
      <c r="S5" s="145">
        <f>'[1]6707ELEC'!$E$11</f>
        <v>2313683.8409999995</v>
      </c>
    </row>
    <row r="6" spans="1:22" hidden="1" x14ac:dyDescent="0.25">
      <c r="A6" s="31" t="s">
        <v>1069</v>
      </c>
      <c r="B6" s="31" t="s">
        <v>11</v>
      </c>
      <c r="C6" s="31" t="s">
        <v>12</v>
      </c>
      <c r="D6" s="31" t="s">
        <v>86</v>
      </c>
      <c r="E6" s="31" t="s">
        <v>726</v>
      </c>
      <c r="F6" s="31" t="s">
        <v>37</v>
      </c>
      <c r="G6" s="31" t="s">
        <v>16</v>
      </c>
      <c r="H6" s="31" t="s">
        <v>727</v>
      </c>
      <c r="I6" s="32" t="s">
        <v>38</v>
      </c>
      <c r="J6" s="32">
        <v>1</v>
      </c>
      <c r="K6" s="32"/>
      <c r="L6" s="34"/>
      <c r="M6" s="34"/>
      <c r="N6" s="34"/>
      <c r="O6" s="34">
        <f t="shared" ref="O6:O16" si="0">S6</f>
        <v>0</v>
      </c>
      <c r="P6" s="34">
        <f t="shared" ref="P6:P16" si="1">O6*1.044</f>
        <v>0</v>
      </c>
      <c r="Q6" s="34">
        <f t="shared" ref="Q6:Q16" si="2">P6*1.045</f>
        <v>0</v>
      </c>
      <c r="S6" s="145"/>
    </row>
    <row r="7" spans="1:22" x14ac:dyDescent="0.25">
      <c r="A7" s="31" t="s">
        <v>1068</v>
      </c>
      <c r="B7" s="31" t="s">
        <v>11</v>
      </c>
      <c r="C7" s="31" t="s">
        <v>12</v>
      </c>
      <c r="D7" s="31" t="s">
        <v>1630</v>
      </c>
      <c r="E7" s="31" t="s">
        <v>726</v>
      </c>
      <c r="F7" s="31" t="s">
        <v>15</v>
      </c>
      <c r="G7" s="31" t="s">
        <v>16</v>
      </c>
      <c r="H7" s="31" t="s">
        <v>727</v>
      </c>
      <c r="I7" s="32" t="s">
        <v>18</v>
      </c>
      <c r="J7" s="32">
        <v>3</v>
      </c>
      <c r="K7" s="32"/>
      <c r="L7" s="34">
        <v>120000</v>
      </c>
      <c r="M7" s="34">
        <v>70000</v>
      </c>
      <c r="N7" s="34">
        <v>70000</v>
      </c>
      <c r="O7" s="34">
        <v>71000</v>
      </c>
      <c r="P7" s="34">
        <f t="shared" si="1"/>
        <v>74124</v>
      </c>
      <c r="Q7" s="34">
        <f t="shared" si="2"/>
        <v>77459.58</v>
      </c>
      <c r="S7" s="145"/>
    </row>
    <row r="8" spans="1:22" x14ac:dyDescent="0.25">
      <c r="A8" s="31" t="s">
        <v>1070</v>
      </c>
      <c r="B8" s="31" t="s">
        <v>11</v>
      </c>
      <c r="C8" s="31" t="s">
        <v>12</v>
      </c>
      <c r="D8" s="31" t="s">
        <v>153</v>
      </c>
      <c r="E8" s="31" t="s">
        <v>726</v>
      </c>
      <c r="F8" s="31" t="s">
        <v>15</v>
      </c>
      <c r="G8" s="31" t="s">
        <v>16</v>
      </c>
      <c r="H8" s="31" t="s">
        <v>727</v>
      </c>
      <c r="I8" s="32" t="s">
        <v>18</v>
      </c>
      <c r="J8" s="32">
        <v>3</v>
      </c>
      <c r="K8" s="32"/>
      <c r="L8" s="34">
        <v>183775.40096</v>
      </c>
      <c r="M8" s="34">
        <v>183353.35</v>
      </c>
      <c r="N8" s="34">
        <v>183353.35</v>
      </c>
      <c r="O8" s="34">
        <f t="shared" si="0"/>
        <v>192806.98674999998</v>
      </c>
      <c r="P8" s="34">
        <f t="shared" si="1"/>
        <v>201290.494167</v>
      </c>
      <c r="Q8" s="34">
        <f t="shared" si="2"/>
        <v>210348.56640451498</v>
      </c>
      <c r="S8" s="145">
        <f>'[1]6707ELEC'!$I$11</f>
        <v>192806.98674999998</v>
      </c>
    </row>
    <row r="9" spans="1:22" hidden="1" x14ac:dyDescent="0.25">
      <c r="A9" s="31" t="s">
        <v>1086</v>
      </c>
      <c r="B9" s="31" t="s">
        <v>11</v>
      </c>
      <c r="C9" s="31" t="s">
        <v>12</v>
      </c>
      <c r="D9" s="31" t="s">
        <v>155</v>
      </c>
      <c r="E9" s="31" t="s">
        <v>726</v>
      </c>
      <c r="F9" s="31" t="s">
        <v>15</v>
      </c>
      <c r="G9" s="31" t="s">
        <v>16</v>
      </c>
      <c r="H9" s="31" t="s">
        <v>727</v>
      </c>
      <c r="I9" s="32" t="s">
        <v>18</v>
      </c>
      <c r="J9" s="32">
        <v>3</v>
      </c>
      <c r="K9" s="32"/>
      <c r="L9" s="34">
        <v>0</v>
      </c>
      <c r="M9" s="34">
        <v>0</v>
      </c>
      <c r="N9" s="34">
        <v>0</v>
      </c>
      <c r="O9" s="34">
        <f t="shared" si="0"/>
        <v>0</v>
      </c>
      <c r="P9" s="34">
        <f t="shared" si="1"/>
        <v>0</v>
      </c>
      <c r="Q9" s="34">
        <f t="shared" si="2"/>
        <v>0</v>
      </c>
      <c r="S9" s="145">
        <f>'[4]6707ELEC'!$J$11</f>
        <v>0</v>
      </c>
    </row>
    <row r="10" spans="1:22" x14ac:dyDescent="0.25">
      <c r="A10" s="31" t="s">
        <v>1067</v>
      </c>
      <c r="B10" s="31" t="s">
        <v>11</v>
      </c>
      <c r="C10" s="31" t="s">
        <v>12</v>
      </c>
      <c r="D10" s="31" t="s">
        <v>41</v>
      </c>
      <c r="E10" s="31" t="s">
        <v>726</v>
      </c>
      <c r="F10" s="31" t="s">
        <v>15</v>
      </c>
      <c r="G10" s="31" t="s">
        <v>16</v>
      </c>
      <c r="H10" s="31" t="s">
        <v>727</v>
      </c>
      <c r="I10" s="32" t="s">
        <v>18</v>
      </c>
      <c r="J10" s="32">
        <v>3</v>
      </c>
      <c r="K10" s="32"/>
      <c r="L10" s="34">
        <v>485167.05853440001</v>
      </c>
      <c r="M10" s="34">
        <v>277849.15079999994</v>
      </c>
      <c r="N10" s="34">
        <v>277849.15079999994</v>
      </c>
      <c r="O10" s="34">
        <f t="shared" si="0"/>
        <v>509010.44501999987</v>
      </c>
      <c r="P10" s="34">
        <f t="shared" si="1"/>
        <v>531406.90460087988</v>
      </c>
      <c r="Q10" s="34">
        <f t="shared" si="2"/>
        <v>555320.21530791942</v>
      </c>
      <c r="S10" s="145">
        <f>'[1]6707ELEC'!$K$11</f>
        <v>509010.44501999987</v>
      </c>
    </row>
    <row r="11" spans="1:22" x14ac:dyDescent="0.25">
      <c r="A11" s="31" t="s">
        <v>1066</v>
      </c>
      <c r="B11" s="31" t="s">
        <v>11</v>
      </c>
      <c r="C11" s="31" t="s">
        <v>12</v>
      </c>
      <c r="D11" s="31" t="s">
        <v>36</v>
      </c>
      <c r="E11" s="31" t="s">
        <v>726</v>
      </c>
      <c r="F11" s="31" t="s">
        <v>37</v>
      </c>
      <c r="G11" s="31" t="s">
        <v>16</v>
      </c>
      <c r="H11" s="31" t="s">
        <v>727</v>
      </c>
      <c r="I11" s="32" t="s">
        <v>38</v>
      </c>
      <c r="J11" s="32">
        <v>1</v>
      </c>
      <c r="K11" s="32"/>
      <c r="L11" s="34">
        <v>110894.40000000001</v>
      </c>
      <c r="M11" s="34">
        <v>64461.600000000006</v>
      </c>
      <c r="N11" s="34">
        <v>64461.600000000006</v>
      </c>
      <c r="O11" s="34">
        <f t="shared" si="0"/>
        <v>110894.40000000001</v>
      </c>
      <c r="P11" s="34">
        <f t="shared" si="1"/>
        <v>115773.75360000001</v>
      </c>
      <c r="Q11" s="34">
        <f t="shared" si="2"/>
        <v>120983.572512</v>
      </c>
      <c r="S11" s="145">
        <f>'[1]6707ELEC'!$L$11</f>
        <v>110894.40000000001</v>
      </c>
    </row>
    <row r="12" spans="1:22" x14ac:dyDescent="0.25">
      <c r="A12" s="31" t="s">
        <v>1071</v>
      </c>
      <c r="B12" s="31" t="s">
        <v>11</v>
      </c>
      <c r="C12" s="31" t="s">
        <v>12</v>
      </c>
      <c r="D12" s="31" t="s">
        <v>47</v>
      </c>
      <c r="E12" s="31" t="s">
        <v>726</v>
      </c>
      <c r="F12" s="31" t="s">
        <v>15</v>
      </c>
      <c r="G12" s="31" t="s">
        <v>16</v>
      </c>
      <c r="H12" s="31" t="s">
        <v>727</v>
      </c>
      <c r="I12" s="32" t="s">
        <v>18</v>
      </c>
      <c r="J12" s="32">
        <v>3</v>
      </c>
      <c r="K12" s="32"/>
      <c r="L12" s="34">
        <v>339216.95999999996</v>
      </c>
      <c r="M12" s="34">
        <v>179368.76</v>
      </c>
      <c r="N12" s="34">
        <v>179368.76</v>
      </c>
      <c r="O12" s="34">
        <f t="shared" si="0"/>
        <v>368292.90648000001</v>
      </c>
      <c r="P12" s="34">
        <f t="shared" si="1"/>
        <v>384497.79436512</v>
      </c>
      <c r="Q12" s="34">
        <f t="shared" si="2"/>
        <v>401800.19511155039</v>
      </c>
      <c r="S12" s="145">
        <f>'[1]6707ELEC'!$M$11</f>
        <v>368292.90648000001</v>
      </c>
    </row>
    <row r="13" spans="1:22" x14ac:dyDescent="0.25">
      <c r="A13" s="31" t="s">
        <v>1087</v>
      </c>
      <c r="B13" s="31" t="s">
        <v>11</v>
      </c>
      <c r="C13" s="31" t="s">
        <v>12</v>
      </c>
      <c r="D13" s="31" t="s">
        <v>45</v>
      </c>
      <c r="E13" s="31" t="s">
        <v>726</v>
      </c>
      <c r="F13" s="31" t="s">
        <v>37</v>
      </c>
      <c r="G13" s="31" t="s">
        <v>16</v>
      </c>
      <c r="H13" s="31" t="s">
        <v>727</v>
      </c>
      <c r="I13" s="32" t="s">
        <v>38</v>
      </c>
      <c r="J13" s="32">
        <v>3</v>
      </c>
      <c r="K13" s="32"/>
      <c r="L13" s="34">
        <v>10863</v>
      </c>
      <c r="M13" s="34">
        <v>5620.08</v>
      </c>
      <c r="N13" s="34">
        <v>5620.08</v>
      </c>
      <c r="O13" s="34">
        <f t="shared" si="0"/>
        <v>11790.927839999998</v>
      </c>
      <c r="P13" s="34">
        <f t="shared" si="1"/>
        <v>12309.728664959999</v>
      </c>
      <c r="Q13" s="34">
        <f t="shared" si="2"/>
        <v>12863.666454883198</v>
      </c>
      <c r="S13" s="145">
        <f>'[1]6707ELEC'!$N$11</f>
        <v>11790.927839999998</v>
      </c>
    </row>
    <row r="14" spans="1:22" x14ac:dyDescent="0.25">
      <c r="A14" s="31" t="s">
        <v>1065</v>
      </c>
      <c r="B14" s="31" t="s">
        <v>11</v>
      </c>
      <c r="C14" s="31" t="s">
        <v>12</v>
      </c>
      <c r="D14" s="31" t="s">
        <v>151</v>
      </c>
      <c r="E14" s="31" t="s">
        <v>726</v>
      </c>
      <c r="F14" s="31" t="s">
        <v>15</v>
      </c>
      <c r="G14" s="31" t="s">
        <v>16</v>
      </c>
      <c r="H14" s="31" t="s">
        <v>727</v>
      </c>
      <c r="I14" s="32" t="s">
        <v>18</v>
      </c>
      <c r="J14" s="32">
        <v>3</v>
      </c>
      <c r="K14" s="32"/>
      <c r="L14" s="34">
        <v>1069.1999999999998</v>
      </c>
      <c r="M14" s="34">
        <v>700.4</v>
      </c>
      <c r="N14" s="34">
        <v>700.4</v>
      </c>
      <c r="O14" s="34">
        <f t="shared" si="0"/>
        <v>1112.4000000000001</v>
      </c>
      <c r="P14" s="34">
        <f t="shared" si="1"/>
        <v>1161.3456000000001</v>
      </c>
      <c r="Q14" s="34">
        <f t="shared" si="2"/>
        <v>1213.6061520000001</v>
      </c>
      <c r="S14" s="145">
        <f>'[1]6707ELEC'!$R$11</f>
        <v>1112.4000000000001</v>
      </c>
    </row>
    <row r="15" spans="1:22" x14ac:dyDescent="0.25">
      <c r="A15" s="31" t="s">
        <v>1063</v>
      </c>
      <c r="B15" s="31" t="s">
        <v>11</v>
      </c>
      <c r="C15" s="31" t="s">
        <v>12</v>
      </c>
      <c r="D15" s="31" t="s">
        <v>43</v>
      </c>
      <c r="E15" s="31" t="s">
        <v>726</v>
      </c>
      <c r="F15" s="31" t="s">
        <v>15</v>
      </c>
      <c r="G15" s="31" t="s">
        <v>16</v>
      </c>
      <c r="H15" s="31" t="s">
        <v>727</v>
      </c>
      <c r="I15" s="32" t="s">
        <v>18</v>
      </c>
      <c r="J15" s="32">
        <v>3</v>
      </c>
      <c r="K15" s="32"/>
      <c r="L15" s="34">
        <v>13362.595982400002</v>
      </c>
      <c r="M15" s="34">
        <v>12459.604563827199</v>
      </c>
      <c r="N15" s="34">
        <v>12459.604563827199</v>
      </c>
      <c r="O15" s="34">
        <f t="shared" si="0"/>
        <v>13476.240000000002</v>
      </c>
      <c r="P15" s="34">
        <f t="shared" si="1"/>
        <v>14069.194560000002</v>
      </c>
      <c r="Q15" s="34">
        <f t="shared" si="2"/>
        <v>14702.3083152</v>
      </c>
      <c r="S15" s="145">
        <f>'[1]6707ELEC'!$T$11</f>
        <v>13476.240000000002</v>
      </c>
    </row>
    <row r="16" spans="1:22" x14ac:dyDescent="0.25">
      <c r="A16" s="31" t="s">
        <v>2128</v>
      </c>
      <c r="B16" s="31"/>
      <c r="C16" s="31"/>
      <c r="D16" s="31" t="s">
        <v>162</v>
      </c>
      <c r="E16" s="31"/>
      <c r="F16" s="31"/>
      <c r="G16" s="31"/>
      <c r="H16" s="31"/>
      <c r="I16" s="32"/>
      <c r="J16" s="32"/>
      <c r="K16" s="32"/>
      <c r="L16" s="34">
        <v>179168.87287296</v>
      </c>
      <c r="M16" s="34">
        <v>148215.17468160001</v>
      </c>
      <c r="N16" s="34">
        <v>148215.17468160001</v>
      </c>
      <c r="O16" s="34">
        <f t="shared" si="0"/>
        <v>152964.83000000002</v>
      </c>
      <c r="P16" s="34">
        <f t="shared" si="1"/>
        <v>159695.28252000004</v>
      </c>
      <c r="Q16" s="34">
        <f t="shared" si="2"/>
        <v>166881.57023340004</v>
      </c>
      <c r="S16" s="145">
        <f>'[1]6707ELEC'!$F$11</f>
        <v>152964.83000000002</v>
      </c>
    </row>
    <row r="17" spans="1:19" x14ac:dyDescent="0.25">
      <c r="A17" s="31"/>
      <c r="B17" s="31"/>
      <c r="C17" s="31"/>
      <c r="D17" s="31"/>
      <c r="E17" s="31"/>
      <c r="F17" s="31"/>
      <c r="G17" s="31"/>
      <c r="H17" s="31"/>
      <c r="I17" s="32"/>
      <c r="J17" s="32"/>
      <c r="K17" s="32"/>
      <c r="S17" s="145"/>
    </row>
    <row r="18" spans="1:19" x14ac:dyDescent="0.25">
      <c r="A18" s="31" t="s">
        <v>1064</v>
      </c>
      <c r="B18" s="31" t="s">
        <v>11</v>
      </c>
      <c r="C18" s="31" t="s">
        <v>12</v>
      </c>
      <c r="D18" s="31" t="s">
        <v>30</v>
      </c>
      <c r="E18" s="31" t="s">
        <v>726</v>
      </c>
      <c r="F18" s="31" t="s">
        <v>15</v>
      </c>
      <c r="G18" s="31" t="s">
        <v>16</v>
      </c>
      <c r="H18" s="31" t="s">
        <v>727</v>
      </c>
      <c r="I18" s="32" t="s">
        <v>18</v>
      </c>
      <c r="J18" s="32">
        <v>3</v>
      </c>
      <c r="K18" s="32"/>
      <c r="L18" s="34">
        <v>22053.048115199999</v>
      </c>
      <c r="M18" s="34">
        <v>13381.841400000001</v>
      </c>
      <c r="N18" s="34">
        <v>13381.841400000001</v>
      </c>
      <c r="O18" s="34">
        <f>S18</f>
        <v>23136.83841</v>
      </c>
      <c r="P18" s="34">
        <f>O18*1.044</f>
        <v>24154.85930004</v>
      </c>
      <c r="Q18" s="34">
        <f>P18*1.045</f>
        <v>25241.827968541798</v>
      </c>
      <c r="S18" s="145">
        <f>'[1]6707ELEC'!$Q$11</f>
        <v>23136.83841</v>
      </c>
    </row>
    <row r="19" spans="1:19" x14ac:dyDescent="0.25">
      <c r="A19" s="31" t="s">
        <v>1082</v>
      </c>
      <c r="B19" s="31" t="s">
        <v>11</v>
      </c>
      <c r="C19" s="31" t="s">
        <v>12</v>
      </c>
      <c r="D19" s="31" t="s">
        <v>20</v>
      </c>
      <c r="E19" s="31" t="s">
        <v>726</v>
      </c>
      <c r="F19" s="31" t="s">
        <v>15</v>
      </c>
      <c r="G19" s="31" t="s">
        <v>16</v>
      </c>
      <c r="H19" s="31" t="s">
        <v>727</v>
      </c>
      <c r="I19" s="32" t="s">
        <v>18</v>
      </c>
      <c r="J19" s="32">
        <v>3</v>
      </c>
      <c r="K19" s="32"/>
      <c r="L19" s="43">
        <v>5000</v>
      </c>
      <c r="M19" s="43">
        <v>5000</v>
      </c>
      <c r="N19" s="43">
        <v>5000</v>
      </c>
      <c r="O19" s="43">
        <v>8000</v>
      </c>
      <c r="P19" s="43">
        <v>9000</v>
      </c>
      <c r="Q19" s="43">
        <v>10000</v>
      </c>
    </row>
    <row r="20" spans="1:19" x14ac:dyDescent="0.25">
      <c r="A20" s="31" t="s">
        <v>1084</v>
      </c>
      <c r="B20" s="31" t="s">
        <v>11</v>
      </c>
      <c r="C20" s="31" t="s">
        <v>12</v>
      </c>
      <c r="D20" s="31" t="s">
        <v>24</v>
      </c>
      <c r="E20" s="31" t="s">
        <v>726</v>
      </c>
      <c r="F20" s="31" t="s">
        <v>15</v>
      </c>
      <c r="G20" s="31" t="s">
        <v>16</v>
      </c>
      <c r="H20" s="31" t="s">
        <v>727</v>
      </c>
      <c r="I20" s="32" t="s">
        <v>18</v>
      </c>
      <c r="J20" s="32">
        <v>3</v>
      </c>
      <c r="K20" s="32"/>
      <c r="L20" s="43">
        <v>5000</v>
      </c>
      <c r="M20" s="43">
        <v>5000</v>
      </c>
      <c r="N20" s="43">
        <v>5000</v>
      </c>
      <c r="O20" s="43">
        <v>8000</v>
      </c>
      <c r="P20" s="43">
        <v>9000</v>
      </c>
      <c r="Q20" s="43">
        <v>10000</v>
      </c>
    </row>
    <row r="21" spans="1:19" x14ac:dyDescent="0.25">
      <c r="A21" s="31" t="s">
        <v>1079</v>
      </c>
      <c r="B21" s="31" t="s">
        <v>11</v>
      </c>
      <c r="C21" s="31" t="s">
        <v>12</v>
      </c>
      <c r="D21" s="31" t="s">
        <v>28</v>
      </c>
      <c r="E21" s="31" t="s">
        <v>726</v>
      </c>
      <c r="F21" s="31" t="s">
        <v>15</v>
      </c>
      <c r="G21" s="31" t="s">
        <v>16</v>
      </c>
      <c r="H21" s="31" t="s">
        <v>727</v>
      </c>
      <c r="I21" s="32" t="s">
        <v>18</v>
      </c>
      <c r="J21" s="32">
        <v>3</v>
      </c>
      <c r="K21" s="32"/>
      <c r="L21" s="43">
        <v>15000</v>
      </c>
      <c r="M21" s="43">
        <v>15000</v>
      </c>
      <c r="N21" s="43">
        <v>15000</v>
      </c>
      <c r="O21" s="43">
        <v>20000</v>
      </c>
      <c r="P21" s="43">
        <v>21000</v>
      </c>
      <c r="Q21" s="43">
        <v>22050</v>
      </c>
    </row>
    <row r="22" spans="1:19" x14ac:dyDescent="0.25">
      <c r="A22" s="31" t="s">
        <v>1081</v>
      </c>
      <c r="B22" s="31" t="s">
        <v>11</v>
      </c>
      <c r="C22" s="31" t="s">
        <v>12</v>
      </c>
      <c r="D22" s="31" t="s">
        <v>13</v>
      </c>
      <c r="E22" s="31" t="s">
        <v>726</v>
      </c>
      <c r="F22" s="31" t="s">
        <v>15</v>
      </c>
      <c r="G22" s="31" t="s">
        <v>16</v>
      </c>
      <c r="H22" s="31" t="s">
        <v>727</v>
      </c>
      <c r="I22" s="32" t="s">
        <v>18</v>
      </c>
      <c r="J22" s="32">
        <v>3</v>
      </c>
      <c r="K22" s="32"/>
      <c r="L22" s="43">
        <v>30000</v>
      </c>
      <c r="M22" s="43">
        <v>30000</v>
      </c>
      <c r="N22" s="43">
        <v>30000</v>
      </c>
      <c r="O22" s="43">
        <v>30000</v>
      </c>
      <c r="P22" s="43">
        <v>35000</v>
      </c>
      <c r="Q22" s="43">
        <v>40000</v>
      </c>
    </row>
    <row r="23" spans="1:19" x14ac:dyDescent="0.25">
      <c r="A23" s="31" t="s">
        <v>1080</v>
      </c>
      <c r="B23" s="31" t="s">
        <v>11</v>
      </c>
      <c r="C23" s="31" t="s">
        <v>12</v>
      </c>
      <c r="D23" s="31" t="s">
        <v>32</v>
      </c>
      <c r="E23" s="31" t="s">
        <v>726</v>
      </c>
      <c r="F23" s="31" t="s">
        <v>15</v>
      </c>
      <c r="G23" s="31" t="s">
        <v>16</v>
      </c>
      <c r="H23" s="31" t="s">
        <v>727</v>
      </c>
      <c r="I23" s="32" t="s">
        <v>18</v>
      </c>
      <c r="J23" s="32">
        <v>3</v>
      </c>
      <c r="K23" s="32"/>
      <c r="L23" s="43">
        <v>2000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</row>
    <row r="24" spans="1:19" x14ac:dyDescent="0.25">
      <c r="A24" s="31" t="s">
        <v>1078</v>
      </c>
      <c r="B24" s="31" t="s">
        <v>11</v>
      </c>
      <c r="C24" s="31" t="s">
        <v>12</v>
      </c>
      <c r="D24" s="31" t="s">
        <v>26</v>
      </c>
      <c r="E24" s="31" t="s">
        <v>726</v>
      </c>
      <c r="F24" s="31" t="s">
        <v>15</v>
      </c>
      <c r="G24" s="31" t="s">
        <v>16</v>
      </c>
      <c r="H24" s="31" t="s">
        <v>727</v>
      </c>
      <c r="I24" s="32" t="s">
        <v>18</v>
      </c>
      <c r="J24" s="32">
        <v>3</v>
      </c>
      <c r="K24" s="32"/>
      <c r="L24" s="43">
        <v>2000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</row>
    <row r="25" spans="1:19" x14ac:dyDescent="0.25">
      <c r="A25" s="31" t="s">
        <v>1083</v>
      </c>
      <c r="B25" s="31" t="s">
        <v>11</v>
      </c>
      <c r="C25" s="31" t="s">
        <v>12</v>
      </c>
      <c r="D25" s="31" t="s">
        <v>22</v>
      </c>
      <c r="E25" s="31" t="s">
        <v>726</v>
      </c>
      <c r="F25" s="31" t="s">
        <v>15</v>
      </c>
      <c r="G25" s="31" t="s">
        <v>16</v>
      </c>
      <c r="H25" s="31" t="s">
        <v>727</v>
      </c>
      <c r="I25" s="32" t="s">
        <v>18</v>
      </c>
      <c r="J25" s="32">
        <v>3</v>
      </c>
      <c r="K25" s="32"/>
      <c r="L25" s="43">
        <v>5000</v>
      </c>
      <c r="M25" s="43">
        <v>12000</v>
      </c>
      <c r="N25" s="43">
        <v>12000</v>
      </c>
      <c r="O25" s="43">
        <v>13000</v>
      </c>
      <c r="P25" s="43">
        <v>13100</v>
      </c>
      <c r="Q25" s="43">
        <v>13200</v>
      </c>
    </row>
    <row r="26" spans="1:19" x14ac:dyDescent="0.25">
      <c r="A26" s="71" t="s">
        <v>2088</v>
      </c>
      <c r="B26" s="31"/>
      <c r="C26" s="31"/>
      <c r="D26" s="31" t="s">
        <v>1874</v>
      </c>
      <c r="E26" s="31"/>
      <c r="F26" s="31"/>
      <c r="G26" s="31"/>
      <c r="H26" s="31"/>
      <c r="I26" s="32"/>
      <c r="J26" s="32"/>
      <c r="K26" s="32"/>
      <c r="L26" s="43">
        <v>50000</v>
      </c>
      <c r="M26" s="43">
        <v>50000</v>
      </c>
      <c r="N26" s="43">
        <v>50000</v>
      </c>
      <c r="O26" s="43">
        <v>200000</v>
      </c>
      <c r="P26" s="43">
        <v>210000</v>
      </c>
      <c r="Q26" s="43">
        <v>220000</v>
      </c>
    </row>
    <row r="27" spans="1:19" x14ac:dyDescent="0.25">
      <c r="A27" s="31" t="s">
        <v>1073</v>
      </c>
      <c r="B27" s="31" t="s">
        <v>11</v>
      </c>
      <c r="C27" s="31" t="s">
        <v>12</v>
      </c>
      <c r="D27" s="31" t="s">
        <v>1682</v>
      </c>
      <c r="E27" s="31" t="s">
        <v>726</v>
      </c>
      <c r="F27" s="31" t="s">
        <v>15</v>
      </c>
      <c r="G27" s="31" t="s">
        <v>16</v>
      </c>
      <c r="H27" s="31" t="s">
        <v>727</v>
      </c>
      <c r="I27" s="32" t="s">
        <v>18</v>
      </c>
      <c r="J27" s="32">
        <v>3</v>
      </c>
      <c r="K27" s="32"/>
      <c r="L27" s="43">
        <v>2000000</v>
      </c>
      <c r="M27" s="43">
        <v>2000000</v>
      </c>
      <c r="N27" s="43">
        <v>2000000</v>
      </c>
      <c r="O27" s="43">
        <v>2500000</v>
      </c>
      <c r="P27" s="43">
        <v>2500000</v>
      </c>
      <c r="Q27" s="43">
        <v>2700000</v>
      </c>
    </row>
    <row r="28" spans="1:19" x14ac:dyDescent="0.25">
      <c r="A28" s="31"/>
      <c r="B28" s="31"/>
      <c r="C28" s="31"/>
      <c r="D28" s="31"/>
      <c r="E28" s="31"/>
      <c r="F28" s="31"/>
      <c r="G28" s="31"/>
      <c r="H28" s="31"/>
      <c r="I28" s="32"/>
      <c r="J28" s="32"/>
      <c r="K28" s="32"/>
    </row>
    <row r="29" spans="1:19" hidden="1" x14ac:dyDescent="0.25">
      <c r="A29" s="31" t="s">
        <v>1074</v>
      </c>
      <c r="B29" s="31" t="s">
        <v>1075</v>
      </c>
      <c r="C29" s="31" t="s">
        <v>546</v>
      </c>
      <c r="D29" s="31" t="s">
        <v>150</v>
      </c>
      <c r="E29" s="31" t="s">
        <v>726</v>
      </c>
      <c r="F29" s="31" t="s">
        <v>292</v>
      </c>
      <c r="G29" s="31" t="s">
        <v>16</v>
      </c>
      <c r="H29" s="31" t="s">
        <v>727</v>
      </c>
      <c r="I29" s="32" t="s">
        <v>18</v>
      </c>
      <c r="J29" s="32">
        <v>3</v>
      </c>
      <c r="K29" s="32"/>
      <c r="L29" s="37"/>
    </row>
    <row r="30" spans="1:19" x14ac:dyDescent="0.25">
      <c r="A30" s="71" t="s">
        <v>1076</v>
      </c>
      <c r="B30" s="31" t="s">
        <v>1077</v>
      </c>
      <c r="C30" s="31" t="s">
        <v>546</v>
      </c>
      <c r="D30" s="31" t="s">
        <v>150</v>
      </c>
      <c r="E30" s="31" t="s">
        <v>726</v>
      </c>
      <c r="F30" s="31" t="s">
        <v>292</v>
      </c>
      <c r="G30" s="31" t="s">
        <v>16</v>
      </c>
      <c r="H30" s="31" t="s">
        <v>727</v>
      </c>
      <c r="I30" s="32" t="s">
        <v>18</v>
      </c>
      <c r="J30" s="32">
        <v>3</v>
      </c>
      <c r="K30" s="32"/>
      <c r="L30" s="43">
        <v>1500000</v>
      </c>
      <c r="M30" s="43">
        <v>3000000</v>
      </c>
      <c r="N30" s="43">
        <v>3000000</v>
      </c>
      <c r="O30" s="43">
        <v>3000000</v>
      </c>
      <c r="P30" s="43">
        <v>3000000</v>
      </c>
      <c r="Q30" s="43">
        <v>4200000</v>
      </c>
    </row>
    <row r="31" spans="1:19" x14ac:dyDescent="0.25">
      <c r="A31" s="71" t="s">
        <v>2089</v>
      </c>
      <c r="B31" s="31"/>
      <c r="C31" s="31"/>
      <c r="D31" s="31" t="s">
        <v>1730</v>
      </c>
      <c r="E31" s="31"/>
      <c r="F31" s="31"/>
      <c r="G31" s="31"/>
      <c r="H31" s="31"/>
      <c r="I31" s="32"/>
      <c r="J31" s="32"/>
      <c r="K31" s="32"/>
      <c r="L31" s="43">
        <v>1000000</v>
      </c>
      <c r="M31" s="43">
        <v>3000000</v>
      </c>
      <c r="N31" s="43">
        <v>3000000</v>
      </c>
      <c r="O31" s="43">
        <v>3000000</v>
      </c>
      <c r="P31" s="43">
        <v>3000000</v>
      </c>
      <c r="Q31" s="43">
        <v>4200000</v>
      </c>
    </row>
    <row r="32" spans="1:19" x14ac:dyDescent="0.25">
      <c r="A32" s="31"/>
      <c r="B32" s="31"/>
      <c r="C32" s="31"/>
      <c r="D32" s="31"/>
      <c r="E32" s="31"/>
      <c r="F32" s="31"/>
      <c r="G32" s="31"/>
      <c r="H32" s="31"/>
      <c r="I32" s="32"/>
      <c r="J32" s="32"/>
      <c r="K32" s="32"/>
      <c r="L32" s="43"/>
      <c r="M32" s="43"/>
      <c r="N32" s="43"/>
      <c r="O32" s="43"/>
      <c r="P32" s="43"/>
      <c r="Q32" s="43"/>
    </row>
    <row r="33" spans="1:19" s="107" customFormat="1" x14ac:dyDescent="0.25">
      <c r="A33" s="50" t="s">
        <v>1188</v>
      </c>
      <c r="B33" s="52" t="s">
        <v>1085</v>
      </c>
      <c r="C33" s="52" t="s">
        <v>12</v>
      </c>
      <c r="D33" s="52" t="s">
        <v>1683</v>
      </c>
      <c r="E33" s="52" t="s">
        <v>726</v>
      </c>
      <c r="F33" s="52" t="s">
        <v>15</v>
      </c>
      <c r="G33" s="52" t="s">
        <v>16</v>
      </c>
      <c r="H33" s="52" t="s">
        <v>727</v>
      </c>
      <c r="I33" s="104" t="s">
        <v>18</v>
      </c>
      <c r="J33" s="104">
        <v>3</v>
      </c>
      <c r="K33" s="104"/>
      <c r="L33" s="105">
        <v>500000</v>
      </c>
      <c r="M33" s="105">
        <v>500000</v>
      </c>
      <c r="N33" s="105">
        <v>500000</v>
      </c>
      <c r="O33" s="105">
        <v>1000000</v>
      </c>
      <c r="P33" s="105">
        <v>1000000</v>
      </c>
      <c r="Q33" s="105">
        <v>1100000</v>
      </c>
      <c r="S33" s="106"/>
    </row>
    <row r="34" spans="1:19" s="107" customFormat="1" x14ac:dyDescent="0.25">
      <c r="A34" s="142" t="s">
        <v>2136</v>
      </c>
      <c r="B34" s="52" t="s">
        <v>2139</v>
      </c>
      <c r="C34" s="52"/>
      <c r="D34" s="52" t="s">
        <v>2118</v>
      </c>
      <c r="E34" s="52"/>
      <c r="F34" s="52"/>
      <c r="G34" s="52"/>
      <c r="H34" s="52"/>
      <c r="I34" s="104"/>
      <c r="J34" s="104"/>
      <c r="K34" s="104"/>
      <c r="L34" s="105">
        <v>1500000</v>
      </c>
      <c r="M34" s="105">
        <v>700000</v>
      </c>
      <c r="N34" s="105">
        <v>700000</v>
      </c>
      <c r="O34" s="105">
        <v>1500000</v>
      </c>
      <c r="P34" s="105">
        <v>2000000</v>
      </c>
      <c r="Q34" s="105">
        <v>2200000</v>
      </c>
      <c r="S34" s="106"/>
    </row>
    <row r="36" spans="1:19" ht="15.75" thickBot="1" x14ac:dyDescent="0.3">
      <c r="A36" s="93" t="s">
        <v>1203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1">
        <f>SUM(L5:L35)</f>
        <v>10284875.34798496</v>
      </c>
      <c r="M36" s="91">
        <f>SUM(M5:M35)</f>
        <v>11597764.961445427</v>
      </c>
      <c r="N36" s="91">
        <f>SUM(N5:N35)</f>
        <v>11597764.961445427</v>
      </c>
      <c r="O36" s="91">
        <f t="shared" ref="O36:Q36" si="3">SUM(O5:O35)</f>
        <v>15047169.815499999</v>
      </c>
      <c r="P36" s="91">
        <f t="shared" si="3"/>
        <v>15731069.287381999</v>
      </c>
      <c r="Q36" s="91">
        <f t="shared" si="3"/>
        <v>18826247.905314188</v>
      </c>
    </row>
  </sheetData>
  <sortState xmlns:xlrd2="http://schemas.microsoft.com/office/spreadsheetml/2017/richdata2" ref="A2:Z25">
    <sortCondition ref="D2:D25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226"/>
  <sheetViews>
    <sheetView zoomScale="110" zoomScaleNormal="110" workbookViewId="0">
      <pane xSplit="1" ySplit="4" topLeftCell="B5" activePane="bottomRight" state="frozen"/>
      <selection activeCell="F10" sqref="F10"/>
      <selection pane="topRight" activeCell="F10" sqref="F10"/>
      <selection pane="bottomLeft" activeCell="F10" sqref="F10"/>
      <selection pane="bottomRight" activeCell="A4" sqref="A4"/>
    </sheetView>
  </sheetViews>
  <sheetFormatPr defaultColWidth="9.125" defaultRowHeight="15" x14ac:dyDescent="0.25"/>
  <cols>
    <col min="1" max="1" width="14.375" style="78" customWidth="1"/>
    <col min="2" max="2" width="64.75" style="78" bestFit="1" customWidth="1"/>
    <col min="3" max="3" width="42.5" style="78" customWidth="1"/>
    <col min="4" max="4" width="27.875" style="78" hidden="1" customWidth="1"/>
    <col min="5" max="5" width="32.875" style="78" hidden="1" customWidth="1"/>
    <col min="6" max="6" width="56.625" style="78" hidden="1" customWidth="1"/>
    <col min="7" max="7" width="97.625" style="78" hidden="1" customWidth="1"/>
    <col min="8" max="8" width="6.375" style="78" hidden="1" customWidth="1"/>
    <col min="9" max="9" width="27.125" style="78" hidden="1" customWidth="1"/>
    <col min="10" max="10" width="15.375" style="78" customWidth="1"/>
    <col min="11" max="11" width="17.125" style="78" customWidth="1"/>
    <col min="12" max="12" width="17.125" style="134" customWidth="1"/>
    <col min="13" max="13" width="14.375" style="78" customWidth="1"/>
    <col min="14" max="14" width="13.75" style="78" customWidth="1"/>
    <col min="15" max="15" width="13.75" style="78" bestFit="1" customWidth="1"/>
    <col min="16" max="17" width="9.125" style="78"/>
    <col min="18" max="19" width="13.75" style="78" bestFit="1" customWidth="1"/>
    <col min="20" max="16384" width="9.125" style="78"/>
  </cols>
  <sheetData>
    <row r="1" spans="1:15" ht="15.75" x14ac:dyDescent="0.25">
      <c r="B1" s="72" t="s">
        <v>1597</v>
      </c>
      <c r="C1" s="72"/>
      <c r="D1" s="72"/>
      <c r="E1" s="73"/>
    </row>
    <row r="2" spans="1:15" ht="15.75" x14ac:dyDescent="0.25">
      <c r="B2" s="19" t="s">
        <v>2342</v>
      </c>
      <c r="C2" s="19"/>
      <c r="D2" s="80"/>
      <c r="E2" s="73"/>
    </row>
    <row r="3" spans="1:15" ht="15.75" x14ac:dyDescent="0.25">
      <c r="B3" s="81" t="s">
        <v>1605</v>
      </c>
    </row>
    <row r="4" spans="1:15" ht="72.75" customHeight="1" x14ac:dyDescent="0.25">
      <c r="A4" s="78" t="s">
        <v>1204</v>
      </c>
      <c r="B4" s="78" t="s">
        <v>1862</v>
      </c>
      <c r="C4" s="78" t="s">
        <v>1202</v>
      </c>
      <c r="D4" s="78" t="s">
        <v>1</v>
      </c>
      <c r="E4" s="78" t="s">
        <v>2</v>
      </c>
      <c r="F4" s="78" t="s">
        <v>3</v>
      </c>
      <c r="G4" s="78" t="s">
        <v>4</v>
      </c>
      <c r="H4" s="78" t="s">
        <v>5</v>
      </c>
      <c r="I4" s="78" t="s">
        <v>6</v>
      </c>
      <c r="J4" s="48" t="s">
        <v>2193</v>
      </c>
      <c r="K4" s="48" t="s">
        <v>2230</v>
      </c>
      <c r="L4" s="48" t="s">
        <v>2340</v>
      </c>
      <c r="M4" s="48" t="s">
        <v>2343</v>
      </c>
      <c r="N4" s="48" t="s">
        <v>2228</v>
      </c>
      <c r="O4" s="48" t="s">
        <v>2229</v>
      </c>
    </row>
    <row r="5" spans="1:15" x14ac:dyDescent="0.25">
      <c r="A5" s="82"/>
      <c r="B5" s="76"/>
      <c r="C5" s="77"/>
      <c r="D5" s="77"/>
      <c r="E5" s="77"/>
      <c r="F5" s="77"/>
      <c r="G5" s="77"/>
      <c r="H5" s="77"/>
      <c r="I5" s="77"/>
    </row>
    <row r="6" spans="1:15" hidden="1" x14ac:dyDescent="0.25">
      <c r="A6" s="76" t="s">
        <v>1289</v>
      </c>
      <c r="B6" s="76" t="s">
        <v>1290</v>
      </c>
      <c r="C6" s="31" t="s">
        <v>1291</v>
      </c>
      <c r="D6" s="77" t="s">
        <v>1287</v>
      </c>
      <c r="E6" s="77" t="s">
        <v>1286</v>
      </c>
      <c r="G6" s="77" t="s">
        <v>1288</v>
      </c>
    </row>
    <row r="7" spans="1:15" hidden="1" x14ac:dyDescent="0.25">
      <c r="A7" s="76" t="s">
        <v>1289</v>
      </c>
      <c r="B7" s="76" t="s">
        <v>1290</v>
      </c>
      <c r="C7" s="31" t="s">
        <v>1292</v>
      </c>
      <c r="D7" s="77" t="s">
        <v>1287</v>
      </c>
      <c r="E7" s="77" t="s">
        <v>1286</v>
      </c>
      <c r="G7" s="77" t="s">
        <v>1293</v>
      </c>
    </row>
    <row r="8" spans="1:15" hidden="1" x14ac:dyDescent="0.25">
      <c r="A8" s="76" t="s">
        <v>1289</v>
      </c>
      <c r="B8" s="76" t="s">
        <v>1290</v>
      </c>
      <c r="C8" s="31" t="s">
        <v>1294</v>
      </c>
      <c r="D8" s="77" t="s">
        <v>1287</v>
      </c>
      <c r="E8" s="77" t="s">
        <v>1286</v>
      </c>
      <c r="G8" s="77" t="s">
        <v>1295</v>
      </c>
    </row>
    <row r="9" spans="1:15" hidden="1" x14ac:dyDescent="0.25">
      <c r="A9" s="76" t="s">
        <v>1289</v>
      </c>
      <c r="B9" s="76" t="s">
        <v>1290</v>
      </c>
      <c r="C9" s="31" t="s">
        <v>1296</v>
      </c>
      <c r="D9" s="77" t="s">
        <v>1287</v>
      </c>
      <c r="E9" s="77" t="s">
        <v>1286</v>
      </c>
      <c r="G9" s="77" t="s">
        <v>1288</v>
      </c>
    </row>
    <row r="10" spans="1:15" hidden="1" x14ac:dyDescent="0.25">
      <c r="A10" s="76" t="s">
        <v>1289</v>
      </c>
      <c r="B10" s="76" t="s">
        <v>1290</v>
      </c>
      <c r="C10" s="31" t="s">
        <v>1297</v>
      </c>
      <c r="D10" s="77" t="s">
        <v>1287</v>
      </c>
      <c r="E10" s="77" t="s">
        <v>1286</v>
      </c>
      <c r="G10" s="77" t="s">
        <v>1293</v>
      </c>
    </row>
    <row r="11" spans="1:15" hidden="1" x14ac:dyDescent="0.25">
      <c r="A11" s="76" t="s">
        <v>1289</v>
      </c>
      <c r="B11" s="76" t="s">
        <v>1290</v>
      </c>
      <c r="C11" s="31" t="s">
        <v>1298</v>
      </c>
      <c r="D11" s="77" t="s">
        <v>1287</v>
      </c>
      <c r="E11" s="77" t="s">
        <v>1286</v>
      </c>
      <c r="G11" s="77" t="s">
        <v>1295</v>
      </c>
    </row>
    <row r="12" spans="1:15" hidden="1" x14ac:dyDescent="0.25">
      <c r="A12" s="76"/>
      <c r="B12" s="76"/>
      <c r="C12" s="77"/>
      <c r="D12" s="77"/>
      <c r="E12" s="77"/>
      <c r="G12" s="77"/>
    </row>
    <row r="13" spans="1:15" s="107" customFormat="1" hidden="1" x14ac:dyDescent="0.25">
      <c r="A13" s="50" t="s">
        <v>1300</v>
      </c>
      <c r="B13" s="50" t="s">
        <v>1301</v>
      </c>
      <c r="C13" s="52" t="s">
        <v>1302</v>
      </c>
      <c r="D13" s="52" t="s">
        <v>12</v>
      </c>
      <c r="E13" s="52" t="s">
        <v>1286</v>
      </c>
      <c r="G13" s="52" t="s">
        <v>292</v>
      </c>
      <c r="J13" s="106">
        <v>0</v>
      </c>
      <c r="K13" s="107">
        <v>0</v>
      </c>
    </row>
    <row r="14" spans="1:15" hidden="1" x14ac:dyDescent="0.25">
      <c r="A14" s="76"/>
      <c r="B14" s="76"/>
      <c r="C14" s="77"/>
      <c r="D14" s="77"/>
      <c r="E14" s="77"/>
      <c r="G14" s="77"/>
    </row>
    <row r="15" spans="1:15" hidden="1" x14ac:dyDescent="0.25">
      <c r="A15" s="76" t="s">
        <v>1773</v>
      </c>
      <c r="B15" s="76" t="s">
        <v>1836</v>
      </c>
      <c r="C15" s="71" t="s">
        <v>1776</v>
      </c>
      <c r="D15" s="77"/>
      <c r="E15" s="77"/>
      <c r="G15" s="77"/>
      <c r="J15" s="34">
        <v>0</v>
      </c>
      <c r="K15" s="83"/>
      <c r="L15" s="83"/>
    </row>
    <row r="16" spans="1:15" s="134" customFormat="1" hidden="1" x14ac:dyDescent="0.25">
      <c r="A16" s="132" t="s">
        <v>1773</v>
      </c>
      <c r="B16" s="132" t="s">
        <v>1836</v>
      </c>
      <c r="C16" s="71" t="s">
        <v>2153</v>
      </c>
      <c r="D16" s="133"/>
      <c r="E16" s="133"/>
      <c r="G16" s="133"/>
      <c r="J16" s="34"/>
      <c r="K16" s="83"/>
      <c r="L16" s="83"/>
    </row>
    <row r="17" spans="1:13" hidden="1" x14ac:dyDescent="0.25">
      <c r="A17" s="76" t="s">
        <v>1772</v>
      </c>
      <c r="B17" s="76" t="s">
        <v>1754</v>
      </c>
      <c r="C17" s="76" t="s">
        <v>2035</v>
      </c>
      <c r="D17" s="77"/>
      <c r="E17" s="77"/>
      <c r="G17" s="77"/>
      <c r="J17" s="34">
        <v>0</v>
      </c>
      <c r="K17" s="83"/>
      <c r="L17" s="83"/>
    </row>
    <row r="18" spans="1:13" hidden="1" x14ac:dyDescent="0.25">
      <c r="A18" s="76" t="s">
        <v>1774</v>
      </c>
      <c r="B18" s="76" t="s">
        <v>2057</v>
      </c>
      <c r="C18" s="71" t="s">
        <v>1777</v>
      </c>
      <c r="D18" s="77"/>
      <c r="E18" s="77"/>
      <c r="G18" s="77"/>
      <c r="J18" s="34">
        <v>0</v>
      </c>
      <c r="K18" s="83"/>
      <c r="L18" s="83"/>
    </row>
    <row r="19" spans="1:13" s="134" customFormat="1" hidden="1" x14ac:dyDescent="0.25">
      <c r="A19" s="132" t="s">
        <v>1774</v>
      </c>
      <c r="B19" s="132" t="s">
        <v>2057</v>
      </c>
      <c r="C19" s="71" t="s">
        <v>2154</v>
      </c>
      <c r="D19" s="133"/>
      <c r="E19" s="133"/>
      <c r="G19" s="133"/>
      <c r="J19" s="34"/>
      <c r="K19" s="83"/>
      <c r="L19" s="83"/>
    </row>
    <row r="20" spans="1:13" x14ac:dyDescent="0.25">
      <c r="A20" s="76" t="s">
        <v>1775</v>
      </c>
      <c r="B20" s="76" t="s">
        <v>2201</v>
      </c>
      <c r="C20" s="76" t="s">
        <v>2034</v>
      </c>
      <c r="D20" s="77"/>
      <c r="E20" s="77"/>
      <c r="F20" s="77"/>
      <c r="G20" s="77"/>
      <c r="H20" s="77"/>
      <c r="I20" s="77"/>
      <c r="J20" s="43">
        <v>1000000</v>
      </c>
      <c r="K20" s="74">
        <v>1100000</v>
      </c>
      <c r="L20" s="74">
        <v>0</v>
      </c>
    </row>
    <row r="21" spans="1:13" s="134" customFormat="1" x14ac:dyDescent="0.25">
      <c r="A21" s="132" t="s">
        <v>1775</v>
      </c>
      <c r="B21" s="132" t="s">
        <v>2201</v>
      </c>
      <c r="C21" s="132" t="s">
        <v>2206</v>
      </c>
      <c r="D21" s="133"/>
      <c r="E21" s="133"/>
      <c r="F21" s="133"/>
      <c r="G21" s="133"/>
      <c r="H21" s="133"/>
      <c r="I21" s="133"/>
      <c r="J21" s="54">
        <v>1800000</v>
      </c>
      <c r="K21" s="75">
        <v>1800000</v>
      </c>
      <c r="L21" s="75">
        <v>3780000</v>
      </c>
      <c r="M21" s="78"/>
    </row>
    <row r="22" spans="1:13" hidden="1" x14ac:dyDescent="0.25">
      <c r="A22" s="76" t="s">
        <v>1887</v>
      </c>
      <c r="B22" s="76" t="s">
        <v>2058</v>
      </c>
      <c r="C22" s="77" t="s">
        <v>1894</v>
      </c>
      <c r="D22" s="77"/>
      <c r="E22" s="77"/>
      <c r="F22" s="77"/>
      <c r="G22" s="77"/>
      <c r="H22" s="77"/>
      <c r="I22" s="77"/>
      <c r="J22" s="43">
        <v>0</v>
      </c>
      <c r="K22" s="74"/>
      <c r="L22" s="74"/>
    </row>
    <row r="23" spans="1:13" s="134" customFormat="1" hidden="1" x14ac:dyDescent="0.25">
      <c r="A23" s="132" t="s">
        <v>1887</v>
      </c>
      <c r="B23" s="132" t="s">
        <v>2058</v>
      </c>
      <c r="C23" s="133" t="s">
        <v>2155</v>
      </c>
      <c r="D23" s="133"/>
      <c r="E23" s="133"/>
      <c r="F23" s="133"/>
      <c r="G23" s="133"/>
      <c r="H23" s="133"/>
      <c r="I23" s="133"/>
      <c r="J23" s="43"/>
      <c r="K23" s="74"/>
      <c r="L23" s="74"/>
    </row>
    <row r="24" spans="1:13" hidden="1" x14ac:dyDescent="0.25">
      <c r="A24" s="76" t="s">
        <v>1888</v>
      </c>
      <c r="B24" s="76" t="s">
        <v>2059</v>
      </c>
      <c r="C24" s="77" t="s">
        <v>1895</v>
      </c>
      <c r="D24" s="77"/>
      <c r="E24" s="77"/>
      <c r="F24" s="77"/>
      <c r="G24" s="77"/>
      <c r="H24" s="77"/>
      <c r="I24" s="77"/>
      <c r="J24" s="43">
        <v>0</v>
      </c>
      <c r="K24" s="74"/>
      <c r="L24" s="74"/>
    </row>
    <row r="25" spans="1:13" s="134" customFormat="1" hidden="1" x14ac:dyDescent="0.25">
      <c r="A25" s="132" t="s">
        <v>1888</v>
      </c>
      <c r="B25" s="132" t="s">
        <v>2059</v>
      </c>
      <c r="C25" s="133" t="s">
        <v>2156</v>
      </c>
      <c r="D25" s="133"/>
      <c r="E25" s="133"/>
      <c r="F25" s="133"/>
      <c r="G25" s="133"/>
      <c r="H25" s="133"/>
      <c r="I25" s="133"/>
      <c r="J25" s="43"/>
      <c r="K25" s="74"/>
      <c r="L25" s="74"/>
    </row>
    <row r="26" spans="1:13" x14ac:dyDescent="0.25">
      <c r="A26" s="76" t="s">
        <v>1889</v>
      </c>
      <c r="B26" s="76" t="s">
        <v>2198</v>
      </c>
      <c r="C26" s="76" t="s">
        <v>2024</v>
      </c>
      <c r="D26" s="77"/>
      <c r="E26" s="77"/>
      <c r="F26" s="77"/>
      <c r="G26" s="77"/>
      <c r="H26" s="77"/>
      <c r="I26" s="77"/>
      <c r="J26" s="43">
        <v>400000</v>
      </c>
      <c r="K26" s="74">
        <v>850000</v>
      </c>
      <c r="L26" s="74">
        <v>40000</v>
      </c>
    </row>
    <row r="27" spans="1:13" s="134" customFormat="1" x14ac:dyDescent="0.25">
      <c r="A27" s="132" t="s">
        <v>1889</v>
      </c>
      <c r="B27" s="132" t="s">
        <v>2198</v>
      </c>
      <c r="C27" s="132" t="s">
        <v>2165</v>
      </c>
      <c r="D27" s="133"/>
      <c r="E27" s="133"/>
      <c r="F27" s="133"/>
      <c r="G27" s="133"/>
      <c r="H27" s="133"/>
      <c r="I27" s="133"/>
      <c r="J27" s="54">
        <v>1800000</v>
      </c>
      <c r="K27" s="75">
        <v>1800000</v>
      </c>
      <c r="L27" s="75">
        <v>2610000</v>
      </c>
    </row>
    <row r="28" spans="1:13" hidden="1" x14ac:dyDescent="0.25">
      <c r="A28" s="76" t="s">
        <v>1890</v>
      </c>
      <c r="B28" s="76" t="s">
        <v>2060</v>
      </c>
      <c r="C28" s="77" t="s">
        <v>1896</v>
      </c>
      <c r="D28" s="77"/>
      <c r="E28" s="77"/>
      <c r="F28" s="77"/>
      <c r="G28" s="77"/>
      <c r="H28" s="77"/>
      <c r="I28" s="77"/>
      <c r="J28" s="54">
        <v>0</v>
      </c>
      <c r="K28" s="74"/>
      <c r="L28" s="74"/>
    </row>
    <row r="29" spans="1:13" s="134" customFormat="1" hidden="1" x14ac:dyDescent="0.25">
      <c r="A29" s="132" t="s">
        <v>1890</v>
      </c>
      <c r="B29" s="132" t="s">
        <v>2060</v>
      </c>
      <c r="C29" s="133" t="s">
        <v>2157</v>
      </c>
      <c r="D29" s="133"/>
      <c r="E29" s="133"/>
      <c r="F29" s="133"/>
      <c r="G29" s="133"/>
      <c r="H29" s="133"/>
      <c r="I29" s="133"/>
      <c r="J29" s="54"/>
      <c r="K29" s="74"/>
      <c r="L29" s="74"/>
    </row>
    <row r="30" spans="1:13" hidden="1" x14ac:dyDescent="0.25">
      <c r="A30" s="76" t="s">
        <v>1891</v>
      </c>
      <c r="B30" s="76" t="s">
        <v>2061</v>
      </c>
      <c r="C30" s="77" t="s">
        <v>1897</v>
      </c>
      <c r="D30" s="77"/>
      <c r="E30" s="77"/>
      <c r="F30" s="77"/>
      <c r="G30" s="77"/>
      <c r="H30" s="77"/>
      <c r="I30" s="77"/>
      <c r="J30" s="54">
        <v>0</v>
      </c>
      <c r="K30" s="74"/>
      <c r="L30" s="74"/>
    </row>
    <row r="31" spans="1:13" s="134" customFormat="1" hidden="1" x14ac:dyDescent="0.25">
      <c r="A31" s="132" t="s">
        <v>1891</v>
      </c>
      <c r="B31" s="132" t="s">
        <v>2061</v>
      </c>
      <c r="C31" s="133" t="s">
        <v>1893</v>
      </c>
      <c r="D31" s="133"/>
      <c r="E31" s="133"/>
      <c r="F31" s="133"/>
      <c r="G31" s="133"/>
      <c r="H31" s="133"/>
      <c r="I31" s="133"/>
      <c r="J31" s="54"/>
      <c r="K31" s="74"/>
      <c r="L31" s="74"/>
    </row>
    <row r="32" spans="1:13" hidden="1" x14ac:dyDescent="0.25">
      <c r="A32" s="76" t="s">
        <v>1891</v>
      </c>
      <c r="B32" s="76" t="s">
        <v>2061</v>
      </c>
      <c r="C32" s="76" t="s">
        <v>1893</v>
      </c>
      <c r="D32" s="77"/>
      <c r="E32" s="77"/>
      <c r="F32" s="77"/>
      <c r="G32" s="77"/>
      <c r="H32" s="77"/>
      <c r="I32" s="77"/>
      <c r="J32" s="75">
        <v>0</v>
      </c>
      <c r="K32" s="74"/>
      <c r="L32" s="74"/>
    </row>
    <row r="33" spans="1:16" x14ac:dyDescent="0.25">
      <c r="A33" s="76" t="s">
        <v>1892</v>
      </c>
      <c r="B33" s="76" t="s">
        <v>2204</v>
      </c>
      <c r="C33" s="76" t="s">
        <v>2148</v>
      </c>
      <c r="D33" s="77"/>
      <c r="E33" s="77"/>
      <c r="F33" s="77"/>
      <c r="G33" s="77"/>
      <c r="H33" s="77"/>
      <c r="I33" s="77"/>
      <c r="J33" s="75">
        <v>2700000</v>
      </c>
      <c r="K33" s="75">
        <v>2700000</v>
      </c>
      <c r="L33" s="75">
        <v>7130000</v>
      </c>
    </row>
    <row r="34" spans="1:16" s="134" customFormat="1" x14ac:dyDescent="0.25">
      <c r="A34" s="132" t="s">
        <v>1892</v>
      </c>
      <c r="B34" s="132" t="s">
        <v>2204</v>
      </c>
      <c r="C34" s="132" t="s">
        <v>2166</v>
      </c>
      <c r="D34" s="133"/>
      <c r="E34" s="133"/>
      <c r="F34" s="133"/>
      <c r="G34" s="133"/>
      <c r="H34" s="133"/>
      <c r="I34" s="133"/>
      <c r="J34" s="74">
        <v>500000</v>
      </c>
      <c r="K34" s="74">
        <v>4550000</v>
      </c>
      <c r="L34" s="74">
        <v>120000</v>
      </c>
    </row>
    <row r="35" spans="1:16" hidden="1" x14ac:dyDescent="0.25">
      <c r="A35" s="76" t="s">
        <v>1778</v>
      </c>
      <c r="B35" s="76" t="s">
        <v>1837</v>
      </c>
      <c r="C35" s="76" t="s">
        <v>1782</v>
      </c>
      <c r="D35" s="77"/>
      <c r="E35" s="77"/>
      <c r="F35" s="77"/>
      <c r="G35" s="77"/>
      <c r="H35" s="77"/>
      <c r="I35" s="77"/>
      <c r="J35" s="75"/>
      <c r="K35" s="74"/>
      <c r="L35" s="74"/>
    </row>
    <row r="36" spans="1:16" x14ac:dyDescent="0.25">
      <c r="A36" s="76" t="s">
        <v>1772</v>
      </c>
      <c r="B36" s="76" t="s">
        <v>1838</v>
      </c>
      <c r="C36" s="76" t="s">
        <v>2186</v>
      </c>
      <c r="D36" s="77"/>
      <c r="E36" s="77"/>
      <c r="G36" s="77"/>
      <c r="J36" s="75">
        <v>1800000</v>
      </c>
      <c r="K36" s="75">
        <v>1800000</v>
      </c>
      <c r="L36" s="75">
        <v>1800000</v>
      </c>
    </row>
    <row r="37" spans="1:16" s="134" customFormat="1" x14ac:dyDescent="0.25">
      <c r="A37" s="132" t="s">
        <v>1772</v>
      </c>
      <c r="B37" s="132" t="s">
        <v>1838</v>
      </c>
      <c r="C37" s="132" t="s">
        <v>2035</v>
      </c>
      <c r="D37" s="133"/>
      <c r="E37" s="133"/>
      <c r="G37" s="133"/>
      <c r="J37" s="74">
        <v>100000</v>
      </c>
      <c r="K37" s="74">
        <v>0</v>
      </c>
      <c r="L37" s="74">
        <v>0</v>
      </c>
    </row>
    <row r="38" spans="1:16" x14ac:dyDescent="0.25">
      <c r="A38" s="76" t="s">
        <v>1779</v>
      </c>
      <c r="B38" s="76" t="s">
        <v>2200</v>
      </c>
      <c r="C38" s="76" t="s">
        <v>2207</v>
      </c>
      <c r="D38" s="77"/>
      <c r="E38" s="77"/>
      <c r="F38" s="77"/>
      <c r="G38" s="77"/>
      <c r="H38" s="77"/>
      <c r="I38" s="77"/>
      <c r="J38" s="75">
        <v>2700000</v>
      </c>
      <c r="K38" s="75">
        <v>2700000</v>
      </c>
      <c r="L38" s="75">
        <v>3780000</v>
      </c>
    </row>
    <row r="39" spans="1:16" s="134" customFormat="1" x14ac:dyDescent="0.25">
      <c r="A39" s="132" t="s">
        <v>1779</v>
      </c>
      <c r="B39" s="132" t="s">
        <v>2200</v>
      </c>
      <c r="C39" s="132" t="s">
        <v>2208</v>
      </c>
      <c r="D39" s="133"/>
      <c r="E39" s="133"/>
      <c r="F39" s="133"/>
      <c r="G39" s="133"/>
      <c r="H39" s="133"/>
      <c r="I39" s="133"/>
      <c r="J39" s="74">
        <v>100000</v>
      </c>
      <c r="K39" s="74">
        <v>1200000</v>
      </c>
      <c r="L39" s="74">
        <v>81000</v>
      </c>
    </row>
    <row r="40" spans="1:16" x14ac:dyDescent="0.25">
      <c r="A40" s="76" t="s">
        <v>1299</v>
      </c>
      <c r="B40" s="76" t="s">
        <v>2199</v>
      </c>
      <c r="C40" s="76" t="s">
        <v>1783</v>
      </c>
      <c r="D40" s="77"/>
      <c r="E40" s="77"/>
      <c r="F40" s="77"/>
      <c r="G40" s="77"/>
      <c r="H40" s="77"/>
      <c r="I40" s="77"/>
      <c r="J40" s="75">
        <v>3600000</v>
      </c>
      <c r="K40" s="75">
        <v>3600000</v>
      </c>
      <c r="L40" s="75">
        <v>0</v>
      </c>
    </row>
    <row r="41" spans="1:16" x14ac:dyDescent="0.25">
      <c r="A41" s="132" t="s">
        <v>1299</v>
      </c>
      <c r="B41" s="132" t="s">
        <v>2199</v>
      </c>
      <c r="C41" s="132" t="s">
        <v>2167</v>
      </c>
      <c r="D41" s="77"/>
      <c r="E41" s="77"/>
      <c r="F41" s="77"/>
      <c r="G41" s="77"/>
      <c r="H41" s="77"/>
      <c r="I41" s="77"/>
      <c r="J41" s="74">
        <v>100000</v>
      </c>
      <c r="K41" s="74">
        <v>0</v>
      </c>
      <c r="L41" s="74">
        <v>598696</v>
      </c>
    </row>
    <row r="42" spans="1:16" x14ac:dyDescent="0.25">
      <c r="A42" s="133" t="s">
        <v>1781</v>
      </c>
      <c r="B42" s="76" t="s">
        <v>2202</v>
      </c>
      <c r="C42" s="76" t="s">
        <v>2168</v>
      </c>
      <c r="J42" s="75">
        <v>1800000</v>
      </c>
      <c r="K42" s="75">
        <v>1800000</v>
      </c>
      <c r="L42" s="75">
        <v>4320000</v>
      </c>
      <c r="M42" s="134"/>
    </row>
    <row r="43" spans="1:16" s="134" customFormat="1" x14ac:dyDescent="0.25">
      <c r="A43" s="133" t="s">
        <v>1781</v>
      </c>
      <c r="B43" s="132" t="s">
        <v>2202</v>
      </c>
      <c r="C43" s="132" t="s">
        <v>2187</v>
      </c>
      <c r="J43" s="74">
        <v>100000</v>
      </c>
      <c r="K43" s="74">
        <v>2590000</v>
      </c>
      <c r="L43" s="74">
        <v>70000</v>
      </c>
    </row>
    <row r="44" spans="1:16" x14ac:dyDescent="0.25">
      <c r="A44" s="76" t="s">
        <v>1780</v>
      </c>
      <c r="B44" s="76" t="s">
        <v>2091</v>
      </c>
      <c r="C44" s="76" t="s">
        <v>1784</v>
      </c>
      <c r="D44" s="77"/>
      <c r="E44" s="77"/>
      <c r="F44" s="77"/>
      <c r="G44" s="77"/>
      <c r="H44" s="77"/>
      <c r="I44" s="77"/>
      <c r="J44" s="135">
        <v>0</v>
      </c>
      <c r="K44" s="74"/>
      <c r="L44" s="74"/>
      <c r="N44" s="79">
        <v>4000000</v>
      </c>
      <c r="P44" s="78" t="s">
        <v>2097</v>
      </c>
    </row>
    <row r="45" spans="1:16" x14ac:dyDescent="0.25">
      <c r="A45" s="76" t="s">
        <v>1898</v>
      </c>
      <c r="B45" s="76" t="s">
        <v>2205</v>
      </c>
      <c r="C45" s="76" t="s">
        <v>2025</v>
      </c>
      <c r="D45" s="77"/>
      <c r="E45" s="77"/>
      <c r="F45" s="77"/>
      <c r="G45" s="77"/>
      <c r="H45" s="77"/>
      <c r="I45" s="77"/>
      <c r="J45" s="74">
        <v>1000000</v>
      </c>
      <c r="K45" s="74">
        <v>1950000</v>
      </c>
      <c r="L45" s="74">
        <v>0</v>
      </c>
    </row>
    <row r="46" spans="1:16" s="134" customFormat="1" x14ac:dyDescent="0.25">
      <c r="A46" s="159" t="s">
        <v>1898</v>
      </c>
      <c r="B46" s="159" t="s">
        <v>2205</v>
      </c>
      <c r="C46" s="159" t="s">
        <v>2339</v>
      </c>
      <c r="D46" s="172"/>
      <c r="E46" s="172"/>
      <c r="F46" s="172"/>
      <c r="G46" s="172"/>
      <c r="H46" s="172"/>
      <c r="I46" s="172"/>
      <c r="J46" s="74">
        <v>0</v>
      </c>
      <c r="K46" s="74">
        <v>0</v>
      </c>
      <c r="L46" s="75">
        <v>1980000</v>
      </c>
    </row>
    <row r="47" spans="1:16" x14ac:dyDescent="0.25">
      <c r="A47" s="76" t="s">
        <v>1899</v>
      </c>
      <c r="B47" s="76" t="s">
        <v>2203</v>
      </c>
      <c r="C47" s="76" t="s">
        <v>2169</v>
      </c>
      <c r="D47" s="77"/>
      <c r="E47" s="77"/>
      <c r="F47" s="77"/>
      <c r="G47" s="77"/>
      <c r="H47" s="77"/>
      <c r="I47" s="77"/>
      <c r="J47" s="75">
        <v>1800000</v>
      </c>
      <c r="K47" s="75">
        <v>1800000</v>
      </c>
      <c r="L47" s="75">
        <v>1800000</v>
      </c>
    </row>
    <row r="48" spans="1:16" s="134" customFormat="1" x14ac:dyDescent="0.25">
      <c r="A48" s="132" t="s">
        <v>1899</v>
      </c>
      <c r="B48" s="132" t="s">
        <v>2203</v>
      </c>
      <c r="C48" s="132" t="s">
        <v>2149</v>
      </c>
      <c r="D48" s="133"/>
      <c r="E48" s="133"/>
      <c r="F48" s="133"/>
      <c r="G48" s="133"/>
      <c r="H48" s="133"/>
      <c r="I48" s="133"/>
      <c r="J48" s="74">
        <v>100000</v>
      </c>
      <c r="K48" s="74">
        <v>0</v>
      </c>
      <c r="L48" s="74">
        <v>0</v>
      </c>
    </row>
    <row r="49" spans="1:19" hidden="1" x14ac:dyDescent="0.25">
      <c r="A49" s="76" t="s">
        <v>1900</v>
      </c>
      <c r="B49" s="76" t="s">
        <v>1839</v>
      </c>
      <c r="C49" s="76" t="s">
        <v>1904</v>
      </c>
      <c r="D49" s="77"/>
      <c r="E49" s="77"/>
      <c r="F49" s="77"/>
      <c r="G49" s="77"/>
      <c r="H49" s="77"/>
      <c r="I49" s="77"/>
      <c r="J49" s="74">
        <v>0</v>
      </c>
      <c r="K49" s="74"/>
      <c r="L49" s="74"/>
    </row>
    <row r="50" spans="1:19" hidden="1" x14ac:dyDescent="0.25">
      <c r="A50" s="76" t="s">
        <v>1901</v>
      </c>
      <c r="B50" s="76" t="s">
        <v>2092</v>
      </c>
      <c r="C50" s="76" t="s">
        <v>1905</v>
      </c>
      <c r="D50" s="77"/>
      <c r="E50" s="77"/>
      <c r="F50" s="77"/>
      <c r="G50" s="77"/>
      <c r="H50" s="77"/>
      <c r="I50" s="77"/>
      <c r="J50" s="74">
        <v>0</v>
      </c>
      <c r="K50" s="75"/>
      <c r="L50" s="75"/>
    </row>
    <row r="51" spans="1:19" hidden="1" x14ac:dyDescent="0.25">
      <c r="A51" s="76" t="s">
        <v>1902</v>
      </c>
      <c r="B51" s="76" t="s">
        <v>1840</v>
      </c>
      <c r="C51" s="76" t="s">
        <v>1906</v>
      </c>
      <c r="D51" s="77"/>
      <c r="E51" s="77"/>
      <c r="F51" s="77"/>
      <c r="G51" s="77"/>
      <c r="H51" s="77"/>
      <c r="I51" s="77"/>
      <c r="J51" s="74">
        <v>0</v>
      </c>
      <c r="K51" s="74"/>
      <c r="L51" s="74"/>
    </row>
    <row r="52" spans="1:19" hidden="1" x14ac:dyDescent="0.25">
      <c r="A52" s="76" t="s">
        <v>1903</v>
      </c>
      <c r="B52" s="76" t="s">
        <v>1842</v>
      </c>
      <c r="C52" s="76" t="s">
        <v>1907</v>
      </c>
      <c r="D52" s="77"/>
      <c r="E52" s="77"/>
      <c r="F52" s="77"/>
      <c r="G52" s="77"/>
      <c r="H52" s="77"/>
      <c r="I52" s="77"/>
      <c r="J52" s="74">
        <v>0</v>
      </c>
      <c r="K52" s="75"/>
      <c r="L52" s="75"/>
    </row>
    <row r="53" spans="1:19" hidden="1" x14ac:dyDescent="0.25">
      <c r="A53" s="76" t="s">
        <v>1908</v>
      </c>
      <c r="B53" s="76" t="s">
        <v>2093</v>
      </c>
      <c r="C53" s="76" t="s">
        <v>1909</v>
      </c>
      <c r="D53" s="77"/>
      <c r="E53" s="77"/>
      <c r="F53" s="77"/>
      <c r="G53" s="77"/>
      <c r="H53" s="77"/>
      <c r="I53" s="77"/>
      <c r="J53" s="74">
        <v>0</v>
      </c>
      <c r="K53" s="74"/>
      <c r="L53" s="74"/>
    </row>
    <row r="54" spans="1:19" hidden="1" x14ac:dyDescent="0.25">
      <c r="A54" s="76" t="s">
        <v>1910</v>
      </c>
      <c r="B54" s="76" t="s">
        <v>2094</v>
      </c>
      <c r="C54" s="76" t="s">
        <v>2147</v>
      </c>
      <c r="D54" s="77"/>
      <c r="E54" s="77"/>
      <c r="F54" s="77"/>
      <c r="G54" s="77"/>
      <c r="H54" s="77"/>
      <c r="I54" s="77"/>
      <c r="J54" s="74">
        <v>0</v>
      </c>
      <c r="K54" s="74"/>
      <c r="L54" s="74"/>
    </row>
    <row r="55" spans="1:19" hidden="1" x14ac:dyDescent="0.25">
      <c r="A55" s="76" t="s">
        <v>2145</v>
      </c>
      <c r="B55" s="50" t="s">
        <v>2095</v>
      </c>
      <c r="C55" s="141" t="s">
        <v>2151</v>
      </c>
      <c r="D55" s="77"/>
      <c r="E55" s="77"/>
      <c r="F55" s="77"/>
      <c r="G55" s="77"/>
      <c r="H55" s="77"/>
      <c r="I55" s="77"/>
      <c r="J55" s="74">
        <v>0</v>
      </c>
      <c r="K55" s="74"/>
      <c r="L55" s="74"/>
    </row>
    <row r="56" spans="1:19" x14ac:dyDescent="0.25">
      <c r="A56" s="76" t="s">
        <v>1911</v>
      </c>
      <c r="B56" s="76" t="s">
        <v>1843</v>
      </c>
      <c r="C56" s="76" t="s">
        <v>2026</v>
      </c>
      <c r="D56" s="77"/>
      <c r="E56" s="77"/>
      <c r="F56" s="77"/>
      <c r="G56" s="77"/>
      <c r="H56" s="77"/>
      <c r="I56" s="77"/>
      <c r="J56" s="74">
        <v>50000</v>
      </c>
      <c r="K56" s="74">
        <v>50000</v>
      </c>
      <c r="L56" s="74">
        <v>50000</v>
      </c>
    </row>
    <row r="57" spans="1:19" s="134" customFormat="1" hidden="1" x14ac:dyDescent="0.25">
      <c r="A57" s="132" t="s">
        <v>1911</v>
      </c>
      <c r="B57" s="132" t="s">
        <v>1843</v>
      </c>
      <c r="C57" s="132" t="s">
        <v>2150</v>
      </c>
      <c r="D57" s="133"/>
      <c r="E57" s="133"/>
      <c r="F57" s="133"/>
      <c r="G57" s="133"/>
      <c r="H57" s="133"/>
      <c r="I57" s="133"/>
      <c r="J57" s="135"/>
      <c r="K57" s="75"/>
      <c r="L57" s="75"/>
    </row>
    <row r="58" spans="1:19" hidden="1" x14ac:dyDescent="0.25">
      <c r="A58" s="76" t="s">
        <v>2146</v>
      </c>
      <c r="B58" s="50" t="s">
        <v>2096</v>
      </c>
      <c r="C58" s="141" t="s">
        <v>2152</v>
      </c>
      <c r="D58" s="77"/>
      <c r="E58" s="77"/>
      <c r="F58" s="77"/>
      <c r="G58" s="77"/>
      <c r="H58" s="77"/>
      <c r="I58" s="77"/>
      <c r="J58" s="74">
        <v>0</v>
      </c>
      <c r="K58" s="75"/>
      <c r="L58" s="75"/>
    </row>
    <row r="59" spans="1:19" x14ac:dyDescent="0.25">
      <c r="A59" s="76" t="s">
        <v>1912</v>
      </c>
      <c r="B59" s="76" t="s">
        <v>2170</v>
      </c>
      <c r="C59" s="76" t="s">
        <v>2027</v>
      </c>
      <c r="D59" s="77"/>
      <c r="E59" s="77"/>
      <c r="F59" s="77"/>
      <c r="G59" s="77"/>
      <c r="H59" s="77"/>
      <c r="I59" s="77"/>
      <c r="J59" s="74">
        <v>500000</v>
      </c>
      <c r="K59" s="74">
        <v>500000</v>
      </c>
      <c r="L59" s="74">
        <v>1531417</v>
      </c>
    </row>
    <row r="60" spans="1:19" x14ac:dyDescent="0.25">
      <c r="A60" s="76" t="s">
        <v>1913</v>
      </c>
      <c r="B60" s="76" t="s">
        <v>1861</v>
      </c>
      <c r="C60" s="76" t="s">
        <v>2028</v>
      </c>
      <c r="D60" s="77"/>
      <c r="E60" s="77"/>
      <c r="F60" s="77"/>
      <c r="G60" s="77"/>
      <c r="H60" s="77"/>
      <c r="I60" s="77"/>
      <c r="J60" s="105">
        <v>100000</v>
      </c>
      <c r="K60" s="105">
        <v>100000</v>
      </c>
      <c r="L60" s="105">
        <v>1198887</v>
      </c>
    </row>
    <row r="61" spans="1:19" x14ac:dyDescent="0.25">
      <c r="A61" s="76" t="s">
        <v>1914</v>
      </c>
      <c r="B61" s="76" t="s">
        <v>1841</v>
      </c>
      <c r="C61" s="76" t="s">
        <v>2029</v>
      </c>
      <c r="D61" s="77"/>
      <c r="E61" s="77"/>
      <c r="F61" s="77"/>
      <c r="G61" s="77"/>
      <c r="H61" s="77"/>
      <c r="I61" s="77"/>
      <c r="J61" s="105">
        <f>10000000-2000000-1000000</f>
        <v>7000000</v>
      </c>
      <c r="K61" s="105">
        <v>3000000</v>
      </c>
      <c r="L61" s="105">
        <v>3000000</v>
      </c>
    </row>
    <row r="62" spans="1:19" s="134" customFormat="1" x14ac:dyDescent="0.25">
      <c r="A62" s="71" t="s">
        <v>2260</v>
      </c>
      <c r="B62" s="159" t="s">
        <v>2231</v>
      </c>
      <c r="C62" s="71" t="s">
        <v>2261</v>
      </c>
      <c r="D62" s="172"/>
      <c r="E62" s="172"/>
      <c r="F62" s="172"/>
      <c r="G62" s="172"/>
      <c r="H62" s="172"/>
      <c r="I62" s="172"/>
      <c r="J62" s="105">
        <v>0</v>
      </c>
      <c r="K62" s="105">
        <v>0</v>
      </c>
      <c r="L62" s="105"/>
      <c r="M62" s="79">
        <v>3000000</v>
      </c>
      <c r="N62" s="79">
        <v>0</v>
      </c>
      <c r="O62" s="79">
        <v>0</v>
      </c>
      <c r="P62" s="134" t="s">
        <v>2097</v>
      </c>
      <c r="S62" s="90">
        <f>M62+M64+M66+M68+M70+M72+M74+M76</f>
        <v>20584000</v>
      </c>
    </row>
    <row r="63" spans="1:19" s="134" customFormat="1" x14ac:dyDescent="0.25">
      <c r="A63" s="71" t="s">
        <v>2260</v>
      </c>
      <c r="B63" s="159" t="s">
        <v>2231</v>
      </c>
      <c r="C63" s="71" t="s">
        <v>2262</v>
      </c>
      <c r="D63" s="172"/>
      <c r="E63" s="172"/>
      <c r="F63" s="172"/>
      <c r="G63" s="172"/>
      <c r="H63" s="172"/>
      <c r="I63" s="172"/>
      <c r="J63" s="105"/>
      <c r="K63" s="105"/>
      <c r="L63" s="105"/>
      <c r="M63" s="83">
        <v>100000</v>
      </c>
      <c r="N63" s="83">
        <v>50000</v>
      </c>
      <c r="O63" s="83">
        <v>50000</v>
      </c>
    </row>
    <row r="64" spans="1:19" s="134" customFormat="1" x14ac:dyDescent="0.25">
      <c r="A64" s="71" t="s">
        <v>2263</v>
      </c>
      <c r="B64" s="159" t="s">
        <v>2232</v>
      </c>
      <c r="C64" s="71" t="s">
        <v>2264</v>
      </c>
      <c r="D64" s="172"/>
      <c r="E64" s="172"/>
      <c r="F64" s="172"/>
      <c r="G64" s="172"/>
      <c r="H64" s="172"/>
      <c r="I64" s="172"/>
      <c r="J64" s="105">
        <v>0</v>
      </c>
      <c r="K64" s="105">
        <v>0</v>
      </c>
      <c r="L64" s="105"/>
      <c r="M64" s="79">
        <v>2000000</v>
      </c>
      <c r="N64" s="79">
        <v>0</v>
      </c>
      <c r="O64" s="79">
        <v>0</v>
      </c>
      <c r="P64" s="134" t="s">
        <v>2097</v>
      </c>
    </row>
    <row r="65" spans="1:19" s="134" customFormat="1" x14ac:dyDescent="0.25">
      <c r="A65" s="71" t="s">
        <v>2263</v>
      </c>
      <c r="B65" s="159" t="s">
        <v>2232</v>
      </c>
      <c r="C65" s="71" t="s">
        <v>2265</v>
      </c>
      <c r="D65" s="172"/>
      <c r="E65" s="172"/>
      <c r="F65" s="172"/>
      <c r="G65" s="172"/>
      <c r="H65" s="172"/>
      <c r="I65" s="172"/>
      <c r="J65" s="105">
        <v>0</v>
      </c>
      <c r="K65" s="105">
        <v>0</v>
      </c>
      <c r="L65" s="105"/>
      <c r="M65" s="83">
        <v>100000</v>
      </c>
      <c r="N65" s="83">
        <v>50000</v>
      </c>
      <c r="O65" s="83">
        <v>50000</v>
      </c>
    </row>
    <row r="66" spans="1:19" s="134" customFormat="1" x14ac:dyDescent="0.25">
      <c r="A66" s="71" t="s">
        <v>2266</v>
      </c>
      <c r="B66" s="71" t="s">
        <v>2233</v>
      </c>
      <c r="C66" s="71" t="s">
        <v>2267</v>
      </c>
      <c r="D66" s="172"/>
      <c r="E66" s="172"/>
      <c r="F66" s="172"/>
      <c r="G66" s="172"/>
      <c r="H66" s="172"/>
      <c r="I66" s="172"/>
      <c r="J66" s="105">
        <v>0</v>
      </c>
      <c r="K66" s="105">
        <v>0</v>
      </c>
      <c r="L66" s="105"/>
      <c r="M66" s="79">
        <v>3584000</v>
      </c>
      <c r="N66" s="79">
        <v>0</v>
      </c>
      <c r="O66" s="79">
        <v>0</v>
      </c>
      <c r="P66" s="134" t="s">
        <v>2097</v>
      </c>
    </row>
    <row r="67" spans="1:19" s="134" customFormat="1" x14ac:dyDescent="0.25">
      <c r="A67" s="71" t="s">
        <v>2266</v>
      </c>
      <c r="B67" s="71" t="s">
        <v>2233</v>
      </c>
      <c r="C67" s="71" t="s">
        <v>2267</v>
      </c>
      <c r="D67" s="172"/>
      <c r="E67" s="172"/>
      <c r="F67" s="172"/>
      <c r="G67" s="172"/>
      <c r="H67" s="172"/>
      <c r="I67" s="172"/>
      <c r="J67" s="105">
        <v>0</v>
      </c>
      <c r="K67" s="105">
        <v>0</v>
      </c>
      <c r="L67" s="105"/>
      <c r="M67" s="83">
        <v>100000</v>
      </c>
      <c r="N67" s="83">
        <v>50000</v>
      </c>
      <c r="O67" s="83">
        <v>50000</v>
      </c>
    </row>
    <row r="68" spans="1:19" s="134" customFormat="1" x14ac:dyDescent="0.25">
      <c r="A68" s="71" t="s">
        <v>2268</v>
      </c>
      <c r="B68" s="71" t="s">
        <v>2234</v>
      </c>
      <c r="C68" s="71" t="s">
        <v>2269</v>
      </c>
      <c r="D68" s="172"/>
      <c r="E68" s="172"/>
      <c r="F68" s="172"/>
      <c r="G68" s="172"/>
      <c r="H68" s="172"/>
      <c r="I68" s="172"/>
      <c r="J68" s="105">
        <v>0</v>
      </c>
      <c r="K68" s="105">
        <v>0</v>
      </c>
      <c r="L68" s="105"/>
      <c r="M68" s="79">
        <v>2000000</v>
      </c>
      <c r="N68" s="79">
        <v>0</v>
      </c>
      <c r="O68" s="79">
        <v>0</v>
      </c>
      <c r="P68" s="134" t="s">
        <v>2097</v>
      </c>
    </row>
    <row r="69" spans="1:19" s="134" customFormat="1" x14ac:dyDescent="0.25">
      <c r="A69" s="71" t="s">
        <v>2268</v>
      </c>
      <c r="B69" s="71" t="s">
        <v>2234</v>
      </c>
      <c r="C69" s="71" t="s">
        <v>2270</v>
      </c>
      <c r="D69" s="172"/>
      <c r="E69" s="172"/>
      <c r="F69" s="172"/>
      <c r="G69" s="172"/>
      <c r="H69" s="172"/>
      <c r="I69" s="172"/>
      <c r="J69" s="105">
        <v>0</v>
      </c>
      <c r="K69" s="105">
        <v>0</v>
      </c>
      <c r="L69" s="105"/>
      <c r="M69" s="83">
        <v>100000</v>
      </c>
      <c r="N69" s="83">
        <v>50000</v>
      </c>
      <c r="O69" s="83">
        <v>50000</v>
      </c>
    </row>
    <row r="70" spans="1:19" s="134" customFormat="1" x14ac:dyDescent="0.25">
      <c r="A70" s="71" t="s">
        <v>2271</v>
      </c>
      <c r="B70" s="71" t="s">
        <v>1840</v>
      </c>
      <c r="C70" s="71" t="s">
        <v>2272</v>
      </c>
      <c r="D70" s="172"/>
      <c r="E70" s="172"/>
      <c r="F70" s="172"/>
      <c r="G70" s="172"/>
      <c r="H70" s="172"/>
      <c r="I70" s="172"/>
      <c r="J70" s="105">
        <v>0</v>
      </c>
      <c r="K70" s="105">
        <v>0</v>
      </c>
      <c r="L70" s="105"/>
      <c r="M70" s="79">
        <v>2000000</v>
      </c>
      <c r="N70" s="79">
        <v>0</v>
      </c>
      <c r="O70" s="79">
        <v>0</v>
      </c>
      <c r="P70" s="134" t="s">
        <v>2097</v>
      </c>
    </row>
    <row r="71" spans="1:19" s="134" customFormat="1" x14ac:dyDescent="0.25">
      <c r="A71" s="71" t="s">
        <v>2271</v>
      </c>
      <c r="B71" s="71" t="s">
        <v>1840</v>
      </c>
      <c r="C71" s="71" t="s">
        <v>2273</v>
      </c>
      <c r="D71" s="172"/>
      <c r="E71" s="172"/>
      <c r="F71" s="172"/>
      <c r="G71" s="172"/>
      <c r="H71" s="172"/>
      <c r="I71" s="172"/>
      <c r="J71" s="105">
        <v>0</v>
      </c>
      <c r="K71" s="105">
        <v>0</v>
      </c>
      <c r="L71" s="105"/>
      <c r="M71" s="83">
        <v>100000</v>
      </c>
      <c r="N71" s="83">
        <v>50000</v>
      </c>
      <c r="O71" s="83">
        <v>50000</v>
      </c>
    </row>
    <row r="72" spans="1:19" s="134" customFormat="1" x14ac:dyDescent="0.25">
      <c r="A72" s="71" t="s">
        <v>2274</v>
      </c>
      <c r="B72" s="71" t="s">
        <v>2235</v>
      </c>
      <c r="C72" s="71" t="s">
        <v>2275</v>
      </c>
      <c r="D72" s="172"/>
      <c r="E72" s="172"/>
      <c r="F72" s="172"/>
      <c r="G72" s="172"/>
      <c r="H72" s="172"/>
      <c r="I72" s="172"/>
      <c r="J72" s="105">
        <v>0</v>
      </c>
      <c r="K72" s="105">
        <v>0</v>
      </c>
      <c r="L72" s="105"/>
      <c r="M72" s="79">
        <v>2000000</v>
      </c>
      <c r="N72" s="79">
        <v>0</v>
      </c>
      <c r="O72" s="79">
        <v>0</v>
      </c>
      <c r="P72" s="134" t="s">
        <v>2097</v>
      </c>
    </row>
    <row r="73" spans="1:19" s="134" customFormat="1" x14ac:dyDescent="0.25">
      <c r="A73" s="71" t="s">
        <v>2274</v>
      </c>
      <c r="B73" s="71" t="s">
        <v>2235</v>
      </c>
      <c r="C73" s="71" t="s">
        <v>2276</v>
      </c>
      <c r="D73" s="172"/>
      <c r="E73" s="172"/>
      <c r="F73" s="172"/>
      <c r="G73" s="172"/>
      <c r="H73" s="172"/>
      <c r="I73" s="172"/>
      <c r="J73" s="105">
        <v>0</v>
      </c>
      <c r="K73" s="105">
        <v>0</v>
      </c>
      <c r="L73" s="105"/>
      <c r="M73" s="83">
        <v>100000</v>
      </c>
      <c r="N73" s="83">
        <v>50000</v>
      </c>
      <c r="O73" s="83">
        <v>50000</v>
      </c>
    </row>
    <row r="74" spans="1:19" s="134" customFormat="1" x14ac:dyDescent="0.25">
      <c r="A74" s="71" t="s">
        <v>2277</v>
      </c>
      <c r="B74" s="71" t="s">
        <v>2236</v>
      </c>
      <c r="C74" s="71" t="s">
        <v>2278</v>
      </c>
      <c r="D74" s="172"/>
      <c r="E74" s="172"/>
      <c r="F74" s="172"/>
      <c r="G74" s="172"/>
      <c r="H74" s="172"/>
      <c r="I74" s="172"/>
      <c r="J74" s="105">
        <v>0</v>
      </c>
      <c r="K74" s="105">
        <v>0</v>
      </c>
      <c r="L74" s="105"/>
      <c r="M74" s="79">
        <v>4000000</v>
      </c>
      <c r="N74" s="79">
        <v>0</v>
      </c>
      <c r="O74" s="79">
        <v>0</v>
      </c>
      <c r="P74" s="134" t="s">
        <v>2097</v>
      </c>
    </row>
    <row r="75" spans="1:19" s="134" customFormat="1" x14ac:dyDescent="0.25">
      <c r="A75" s="71" t="s">
        <v>2277</v>
      </c>
      <c r="B75" s="71" t="s">
        <v>2236</v>
      </c>
      <c r="C75" s="71" t="s">
        <v>2279</v>
      </c>
      <c r="D75" s="172"/>
      <c r="E75" s="172"/>
      <c r="F75" s="172"/>
      <c r="G75" s="172"/>
      <c r="H75" s="172"/>
      <c r="I75" s="172"/>
      <c r="J75" s="105">
        <v>0</v>
      </c>
      <c r="K75" s="105">
        <v>0</v>
      </c>
      <c r="L75" s="105"/>
      <c r="M75" s="83">
        <v>100000</v>
      </c>
      <c r="N75" s="83">
        <v>50000</v>
      </c>
      <c r="O75" s="83">
        <v>50000</v>
      </c>
    </row>
    <row r="76" spans="1:19" s="134" customFormat="1" x14ac:dyDescent="0.25">
      <c r="A76" s="71" t="s">
        <v>2280</v>
      </c>
      <c r="B76" s="71" t="s">
        <v>2237</v>
      </c>
      <c r="C76" s="71" t="s">
        <v>2281</v>
      </c>
      <c r="D76" s="172"/>
      <c r="E76" s="172"/>
      <c r="F76" s="172"/>
      <c r="G76" s="172"/>
      <c r="H76" s="172"/>
      <c r="I76" s="172"/>
      <c r="J76" s="105">
        <v>0</v>
      </c>
      <c r="K76" s="105">
        <v>0</v>
      </c>
      <c r="L76" s="105"/>
      <c r="M76" s="79">
        <v>2000000</v>
      </c>
      <c r="N76" s="79">
        <v>0</v>
      </c>
      <c r="O76" s="79">
        <v>0</v>
      </c>
      <c r="P76" s="134" t="s">
        <v>2097</v>
      </c>
    </row>
    <row r="77" spans="1:19" s="134" customFormat="1" x14ac:dyDescent="0.25">
      <c r="A77" s="71" t="s">
        <v>2280</v>
      </c>
      <c r="B77" s="71" t="s">
        <v>2237</v>
      </c>
      <c r="C77" s="71" t="s">
        <v>2282</v>
      </c>
      <c r="D77" s="172"/>
      <c r="E77" s="172"/>
      <c r="F77" s="172"/>
      <c r="G77" s="172"/>
      <c r="H77" s="172"/>
      <c r="I77" s="172"/>
      <c r="J77" s="105">
        <v>0</v>
      </c>
      <c r="K77" s="105">
        <v>0</v>
      </c>
      <c r="L77" s="105"/>
      <c r="M77" s="83">
        <v>100000</v>
      </c>
      <c r="N77" s="83">
        <v>50000</v>
      </c>
      <c r="O77" s="83">
        <v>50000</v>
      </c>
    </row>
    <row r="78" spans="1:19" s="134" customFormat="1" x14ac:dyDescent="0.25">
      <c r="A78" s="71" t="s">
        <v>2283</v>
      </c>
      <c r="B78" s="71" t="s">
        <v>1843</v>
      </c>
      <c r="C78" s="71" t="s">
        <v>2284</v>
      </c>
      <c r="D78" s="172"/>
      <c r="E78" s="172"/>
      <c r="F78" s="172"/>
      <c r="G78" s="172"/>
      <c r="H78" s="172"/>
      <c r="I78" s="172"/>
      <c r="J78" s="105">
        <v>0</v>
      </c>
      <c r="K78" s="105">
        <v>0</v>
      </c>
      <c r="L78" s="105"/>
      <c r="M78" s="83">
        <v>100000</v>
      </c>
      <c r="N78" s="79">
        <v>10780000</v>
      </c>
      <c r="O78" s="83">
        <v>3500000</v>
      </c>
      <c r="P78" s="134" t="s">
        <v>2097</v>
      </c>
    </row>
    <row r="79" spans="1:19" s="134" customFormat="1" x14ac:dyDescent="0.25">
      <c r="A79" s="71" t="s">
        <v>2283</v>
      </c>
      <c r="B79" s="71" t="s">
        <v>1843</v>
      </c>
      <c r="C79" s="71" t="s">
        <v>2285</v>
      </c>
      <c r="D79" s="172"/>
      <c r="E79" s="172"/>
      <c r="F79" s="172"/>
      <c r="G79" s="172"/>
      <c r="H79" s="172"/>
      <c r="I79" s="172"/>
      <c r="J79" s="105"/>
      <c r="K79" s="105"/>
      <c r="L79" s="105"/>
      <c r="M79" s="83"/>
      <c r="N79" s="79"/>
      <c r="O79" s="83"/>
    </row>
    <row r="80" spans="1:19" s="134" customFormat="1" x14ac:dyDescent="0.25">
      <c r="A80" s="71" t="s">
        <v>1912</v>
      </c>
      <c r="B80" s="71" t="s">
        <v>2170</v>
      </c>
      <c r="C80" s="71" t="s">
        <v>2027</v>
      </c>
      <c r="D80" s="172"/>
      <c r="E80" s="172"/>
      <c r="F80" s="172"/>
      <c r="G80" s="172"/>
      <c r="H80" s="172"/>
      <c r="I80" s="172"/>
      <c r="J80" s="105">
        <v>0</v>
      </c>
      <c r="K80" s="105">
        <v>0</v>
      </c>
      <c r="L80" s="105"/>
      <c r="M80" s="83">
        <v>1000000</v>
      </c>
      <c r="N80" s="83">
        <v>2000000</v>
      </c>
      <c r="O80" s="83">
        <v>3000000</v>
      </c>
      <c r="S80" s="90">
        <f>N85+N83+N78+N44</f>
        <v>21000000</v>
      </c>
    </row>
    <row r="81" spans="1:16" s="134" customFormat="1" x14ac:dyDescent="0.25">
      <c r="A81" s="71" t="s">
        <v>1913</v>
      </c>
      <c r="B81" s="71" t="s">
        <v>1861</v>
      </c>
      <c r="C81" s="71" t="s">
        <v>2028</v>
      </c>
      <c r="D81" s="172"/>
      <c r="E81" s="172"/>
      <c r="F81" s="172"/>
      <c r="G81" s="172"/>
      <c r="H81" s="172"/>
      <c r="I81" s="172"/>
      <c r="J81" s="105">
        <v>0</v>
      </c>
      <c r="K81" s="105">
        <v>0</v>
      </c>
      <c r="L81" s="105"/>
      <c r="M81" s="83">
        <v>0</v>
      </c>
      <c r="N81" s="83">
        <v>1500000</v>
      </c>
      <c r="O81" s="83">
        <v>2000000</v>
      </c>
    </row>
    <row r="82" spans="1:16" s="134" customFormat="1" x14ac:dyDescent="0.25">
      <c r="A82" s="71" t="s">
        <v>1914</v>
      </c>
      <c r="B82" s="71" t="s">
        <v>1841</v>
      </c>
      <c r="C82" s="71" t="s">
        <v>2029</v>
      </c>
      <c r="D82" s="172"/>
      <c r="E82" s="172"/>
      <c r="F82" s="172"/>
      <c r="G82" s="172"/>
      <c r="H82" s="172"/>
      <c r="I82" s="172"/>
      <c r="J82" s="105">
        <v>0</v>
      </c>
      <c r="K82" s="105">
        <v>0</v>
      </c>
      <c r="L82" s="105"/>
      <c r="M82" s="83">
        <v>10300000</v>
      </c>
      <c r="N82" s="83">
        <v>5000000</v>
      </c>
      <c r="O82" s="83">
        <v>9000000</v>
      </c>
    </row>
    <row r="83" spans="1:16" s="134" customFormat="1" x14ac:dyDescent="0.25">
      <c r="A83" s="71" t="s">
        <v>2286</v>
      </c>
      <c r="B83" s="71" t="s">
        <v>2246</v>
      </c>
      <c r="C83" s="71" t="s">
        <v>2287</v>
      </c>
      <c r="D83" s="172"/>
      <c r="E83" s="172"/>
      <c r="F83" s="172"/>
      <c r="G83" s="172"/>
      <c r="H83" s="172"/>
      <c r="I83" s="172"/>
      <c r="J83" s="105"/>
      <c r="K83" s="105"/>
      <c r="L83" s="105"/>
      <c r="M83" s="83"/>
      <c r="N83" s="79">
        <v>4000000</v>
      </c>
      <c r="O83" s="83"/>
      <c r="P83" s="134" t="s">
        <v>2097</v>
      </c>
    </row>
    <row r="84" spans="1:16" s="134" customFormat="1" x14ac:dyDescent="0.25">
      <c r="A84" s="71" t="s">
        <v>2286</v>
      </c>
      <c r="B84" s="71" t="s">
        <v>2246</v>
      </c>
      <c r="C84" s="71" t="s">
        <v>2288</v>
      </c>
      <c r="D84" s="172"/>
      <c r="E84" s="172"/>
      <c r="F84" s="172"/>
      <c r="G84" s="172"/>
      <c r="H84" s="172"/>
      <c r="I84" s="172"/>
      <c r="J84" s="105"/>
      <c r="K84" s="105"/>
      <c r="L84" s="105"/>
      <c r="M84" s="83"/>
      <c r="N84" s="79"/>
      <c r="O84" s="83"/>
    </row>
    <row r="85" spans="1:16" s="134" customFormat="1" x14ac:dyDescent="0.25">
      <c r="A85" s="71" t="s">
        <v>2289</v>
      </c>
      <c r="B85" s="71" t="s">
        <v>2247</v>
      </c>
      <c r="C85" s="71" t="s">
        <v>2290</v>
      </c>
      <c r="D85" s="172"/>
      <c r="E85" s="172"/>
      <c r="F85" s="172"/>
      <c r="G85" s="172"/>
      <c r="H85" s="172"/>
      <c r="I85" s="172"/>
      <c r="J85" s="105"/>
      <c r="K85" s="105"/>
      <c r="L85" s="105"/>
      <c r="M85" s="83"/>
      <c r="N85" s="79">
        <v>2220000</v>
      </c>
      <c r="O85" s="83"/>
      <c r="P85" s="134" t="s">
        <v>2097</v>
      </c>
    </row>
    <row r="86" spans="1:16" s="134" customFormat="1" x14ac:dyDescent="0.25">
      <c r="A86" s="71" t="s">
        <v>2289</v>
      </c>
      <c r="B86" s="71" t="s">
        <v>2247</v>
      </c>
      <c r="C86" s="71" t="s">
        <v>2291</v>
      </c>
      <c r="D86" s="172"/>
      <c r="E86" s="172"/>
      <c r="F86" s="172"/>
      <c r="G86" s="172"/>
      <c r="H86" s="172"/>
      <c r="I86" s="172"/>
      <c r="J86" s="105"/>
      <c r="K86" s="105"/>
      <c r="L86" s="105"/>
      <c r="M86" s="83"/>
      <c r="N86" s="79"/>
      <c r="O86" s="83"/>
    </row>
    <row r="87" spans="1:16" s="134" customFormat="1" x14ac:dyDescent="0.25">
      <c r="A87" s="71" t="s">
        <v>2292</v>
      </c>
      <c r="B87" s="71" t="s">
        <v>2248</v>
      </c>
      <c r="C87" s="71" t="s">
        <v>2293</v>
      </c>
      <c r="D87" s="172"/>
      <c r="E87" s="172"/>
      <c r="F87" s="172"/>
      <c r="G87" s="172"/>
      <c r="H87" s="172"/>
      <c r="I87" s="172"/>
      <c r="J87" s="105"/>
      <c r="K87" s="105"/>
      <c r="L87" s="105"/>
      <c r="M87" s="83"/>
      <c r="N87" s="79"/>
      <c r="O87" s="79">
        <v>4000000</v>
      </c>
      <c r="P87" s="134" t="s">
        <v>2097</v>
      </c>
    </row>
    <row r="88" spans="1:16" s="134" customFormat="1" x14ac:dyDescent="0.25">
      <c r="A88" s="71" t="s">
        <v>2292</v>
      </c>
      <c r="B88" s="71" t="s">
        <v>2248</v>
      </c>
      <c r="C88" s="71" t="s">
        <v>2294</v>
      </c>
      <c r="D88" s="172"/>
      <c r="E88" s="172"/>
      <c r="F88" s="172"/>
      <c r="G88" s="172"/>
      <c r="H88" s="172"/>
      <c r="I88" s="172"/>
      <c r="J88" s="105"/>
      <c r="K88" s="105"/>
      <c r="L88" s="105"/>
      <c r="M88" s="83"/>
      <c r="N88" s="79"/>
      <c r="O88" s="79"/>
    </row>
    <row r="89" spans="1:16" s="134" customFormat="1" x14ac:dyDescent="0.25">
      <c r="A89" s="71" t="s">
        <v>2295</v>
      </c>
      <c r="B89" s="71" t="s">
        <v>2249</v>
      </c>
      <c r="C89" s="71" t="s">
        <v>2296</v>
      </c>
      <c r="D89" s="172"/>
      <c r="E89" s="172"/>
      <c r="F89" s="172"/>
      <c r="G89" s="172"/>
      <c r="H89" s="172"/>
      <c r="I89" s="172"/>
      <c r="J89" s="105"/>
      <c r="K89" s="105"/>
      <c r="L89" s="105"/>
      <c r="M89" s="83"/>
      <c r="N89" s="79"/>
      <c r="O89" s="79">
        <v>4000000</v>
      </c>
      <c r="P89" s="134" t="s">
        <v>2097</v>
      </c>
    </row>
    <row r="90" spans="1:16" s="134" customFormat="1" x14ac:dyDescent="0.25">
      <c r="A90" s="71" t="s">
        <v>2295</v>
      </c>
      <c r="B90" s="71" t="s">
        <v>2297</v>
      </c>
      <c r="C90" s="71" t="s">
        <v>2298</v>
      </c>
      <c r="D90" s="172"/>
      <c r="E90" s="172"/>
      <c r="F90" s="172"/>
      <c r="G90" s="172"/>
      <c r="H90" s="172"/>
      <c r="I90" s="172"/>
      <c r="J90" s="105"/>
      <c r="K90" s="105"/>
      <c r="L90" s="105"/>
      <c r="M90" s="83"/>
      <c r="N90" s="79"/>
      <c r="O90" s="79"/>
    </row>
    <row r="91" spans="1:16" s="134" customFormat="1" x14ac:dyDescent="0.25">
      <c r="A91" s="71" t="s">
        <v>2299</v>
      </c>
      <c r="B91" s="71" t="s">
        <v>2250</v>
      </c>
      <c r="C91" s="71" t="s">
        <v>2300</v>
      </c>
      <c r="D91" s="172"/>
      <c r="E91" s="172"/>
      <c r="F91" s="172"/>
      <c r="G91" s="172"/>
      <c r="H91" s="172"/>
      <c r="I91" s="172"/>
      <c r="J91" s="105"/>
      <c r="K91" s="105"/>
      <c r="L91" s="105"/>
      <c r="M91" s="83"/>
      <c r="N91" s="79"/>
      <c r="O91" s="79">
        <v>4000000</v>
      </c>
      <c r="P91" s="134" t="s">
        <v>2097</v>
      </c>
    </row>
    <row r="92" spans="1:16" s="134" customFormat="1" x14ac:dyDescent="0.25">
      <c r="A92" s="71" t="s">
        <v>2299</v>
      </c>
      <c r="B92" s="71" t="s">
        <v>2250</v>
      </c>
      <c r="C92" s="71" t="s">
        <v>2301</v>
      </c>
      <c r="D92" s="172"/>
      <c r="E92" s="172"/>
      <c r="F92" s="172"/>
      <c r="G92" s="172"/>
      <c r="H92" s="172"/>
      <c r="I92" s="172"/>
      <c r="J92" s="105"/>
      <c r="K92" s="105"/>
      <c r="L92" s="105"/>
      <c r="M92" s="83"/>
      <c r="N92" s="79"/>
      <c r="O92" s="79"/>
    </row>
    <row r="93" spans="1:16" s="134" customFormat="1" x14ac:dyDescent="0.25">
      <c r="A93" s="71" t="s">
        <v>2302</v>
      </c>
      <c r="B93" s="71" t="s">
        <v>2251</v>
      </c>
      <c r="C93" s="71" t="s">
        <v>2303</v>
      </c>
      <c r="D93" s="172"/>
      <c r="E93" s="172"/>
      <c r="F93" s="172"/>
      <c r="G93" s="172"/>
      <c r="H93" s="172"/>
      <c r="I93" s="172"/>
      <c r="J93" s="105"/>
      <c r="K93" s="105"/>
      <c r="L93" s="105"/>
      <c r="M93" s="83"/>
      <c r="N93" s="83"/>
      <c r="O93" s="79">
        <v>4000000</v>
      </c>
      <c r="P93" s="134" t="s">
        <v>2097</v>
      </c>
    </row>
    <row r="94" spans="1:16" s="134" customFormat="1" x14ac:dyDescent="0.25">
      <c r="A94" s="71" t="s">
        <v>2302</v>
      </c>
      <c r="B94" s="71" t="s">
        <v>2251</v>
      </c>
      <c r="C94" s="71" t="s">
        <v>2304</v>
      </c>
      <c r="D94" s="172"/>
      <c r="E94" s="172"/>
      <c r="F94" s="172"/>
      <c r="G94" s="172"/>
      <c r="H94" s="172"/>
      <c r="I94" s="172"/>
      <c r="J94" s="105"/>
      <c r="K94" s="105"/>
      <c r="L94" s="105"/>
      <c r="M94" s="83"/>
      <c r="N94" s="83"/>
      <c r="O94" s="79"/>
    </row>
    <row r="95" spans="1:16" s="134" customFormat="1" x14ac:dyDescent="0.25">
      <c r="A95" s="71" t="s">
        <v>2305</v>
      </c>
      <c r="B95" s="71" t="s">
        <v>2252</v>
      </c>
      <c r="C95" s="71" t="s">
        <v>2306</v>
      </c>
      <c r="D95" s="172"/>
      <c r="E95" s="172"/>
      <c r="F95" s="172"/>
      <c r="G95" s="172"/>
      <c r="H95" s="172"/>
      <c r="I95" s="172"/>
      <c r="J95" s="105"/>
      <c r="K95" s="105"/>
      <c r="L95" s="105"/>
      <c r="O95" s="79">
        <v>3853000</v>
      </c>
    </row>
    <row r="96" spans="1:16" s="134" customFormat="1" x14ac:dyDescent="0.25">
      <c r="A96" s="71" t="s">
        <v>2305</v>
      </c>
      <c r="B96" s="71" t="s">
        <v>2252</v>
      </c>
      <c r="C96" s="71" t="s">
        <v>2307</v>
      </c>
      <c r="D96" s="172"/>
      <c r="E96" s="172"/>
      <c r="F96" s="172"/>
      <c r="G96" s="172"/>
      <c r="H96" s="172"/>
      <c r="I96" s="172"/>
      <c r="J96" s="105"/>
      <c r="K96" s="105"/>
      <c r="L96" s="105"/>
    </row>
    <row r="97" spans="1:18" x14ac:dyDescent="0.25">
      <c r="A97" s="82"/>
      <c r="B97" s="76"/>
      <c r="C97" s="77"/>
      <c r="D97" s="77"/>
      <c r="E97" s="77"/>
      <c r="F97" s="77"/>
      <c r="G97" s="77"/>
      <c r="H97" s="77"/>
      <c r="I97" s="77"/>
      <c r="J97" s="84">
        <f t="shared" ref="J97:O97" si="0">SUM(J5:J95)</f>
        <v>29050000</v>
      </c>
      <c r="K97" s="84">
        <f t="shared" si="0"/>
        <v>33890000</v>
      </c>
      <c r="L97" s="84">
        <f t="shared" si="0"/>
        <v>33890000</v>
      </c>
      <c r="M97" s="84">
        <f t="shared" si="0"/>
        <v>32784000</v>
      </c>
      <c r="N97" s="84">
        <f t="shared" si="0"/>
        <v>29900000</v>
      </c>
      <c r="O97" s="84">
        <f t="shared" si="0"/>
        <v>37753000</v>
      </c>
      <c r="Q97" s="78" t="s">
        <v>2097</v>
      </c>
      <c r="R97" s="79">
        <v>20584000</v>
      </c>
    </row>
    <row r="98" spans="1:18" x14ac:dyDescent="0.25">
      <c r="A98" s="82"/>
      <c r="B98" s="76"/>
      <c r="C98" s="77"/>
      <c r="D98" s="77"/>
      <c r="E98" s="77"/>
      <c r="F98" s="77"/>
      <c r="G98" s="77"/>
      <c r="H98" s="77"/>
      <c r="I98" s="77"/>
    </row>
    <row r="99" spans="1:18" hidden="1" x14ac:dyDescent="0.25">
      <c r="A99" s="76" t="s">
        <v>1303</v>
      </c>
      <c r="B99" s="76" t="s">
        <v>1304</v>
      </c>
      <c r="C99" s="77" t="s">
        <v>1305</v>
      </c>
      <c r="D99" s="77" t="s">
        <v>142</v>
      </c>
      <c r="E99" s="77" t="s">
        <v>561</v>
      </c>
      <c r="G99" s="77" t="s">
        <v>1306</v>
      </c>
      <c r="J99" s="83">
        <v>0</v>
      </c>
      <c r="K99" s="83">
        <v>0</v>
      </c>
      <c r="L99" s="83"/>
    </row>
    <row r="100" spans="1:18" hidden="1" x14ac:dyDescent="0.25">
      <c r="A100" s="76" t="s">
        <v>1221</v>
      </c>
      <c r="B100" s="76" t="s">
        <v>1222</v>
      </c>
      <c r="C100" s="77" t="s">
        <v>1225</v>
      </c>
      <c r="D100" s="77" t="s">
        <v>142</v>
      </c>
      <c r="E100" s="77" t="s">
        <v>561</v>
      </c>
      <c r="F100" s="77" t="s">
        <v>1224</v>
      </c>
      <c r="G100" s="77" t="s">
        <v>292</v>
      </c>
      <c r="H100" s="77" t="s">
        <v>16</v>
      </c>
      <c r="I100" s="77" t="s">
        <v>302</v>
      </c>
      <c r="J100" s="83">
        <v>0</v>
      </c>
      <c r="K100" s="83">
        <v>0</v>
      </c>
      <c r="L100" s="83"/>
    </row>
    <row r="101" spans="1:18" hidden="1" x14ac:dyDescent="0.25">
      <c r="A101" s="76" t="s">
        <v>1227</v>
      </c>
      <c r="B101" s="76" t="s">
        <v>1228</v>
      </c>
      <c r="C101" s="77" t="s">
        <v>1230</v>
      </c>
      <c r="D101" s="77" t="s">
        <v>142</v>
      </c>
      <c r="E101" s="77" t="s">
        <v>561</v>
      </c>
      <c r="F101" s="77" t="s">
        <v>126</v>
      </c>
      <c r="G101" s="77" t="s">
        <v>1229</v>
      </c>
      <c r="H101" s="77" t="s">
        <v>16</v>
      </c>
      <c r="I101" s="77" t="s">
        <v>994</v>
      </c>
      <c r="J101" s="83">
        <v>0</v>
      </c>
      <c r="K101" s="83">
        <v>0</v>
      </c>
      <c r="L101" s="83"/>
    </row>
    <row r="102" spans="1:18" hidden="1" x14ac:dyDescent="0.25">
      <c r="A102" s="76" t="s">
        <v>1231</v>
      </c>
      <c r="B102" s="76" t="s">
        <v>1232</v>
      </c>
      <c r="C102" s="77" t="s">
        <v>1233</v>
      </c>
      <c r="D102" s="77" t="s">
        <v>142</v>
      </c>
      <c r="E102" s="77" t="s">
        <v>561</v>
      </c>
      <c r="F102" s="77" t="s">
        <v>126</v>
      </c>
      <c r="G102" s="77" t="s">
        <v>1206</v>
      </c>
      <c r="H102" s="77" t="s">
        <v>16</v>
      </c>
      <c r="I102" s="77" t="s">
        <v>994</v>
      </c>
      <c r="J102" s="83">
        <v>0</v>
      </c>
      <c r="K102" s="83">
        <v>0</v>
      </c>
      <c r="L102" s="83"/>
    </row>
    <row r="103" spans="1:18" hidden="1" x14ac:dyDescent="0.25">
      <c r="A103" s="76" t="s">
        <v>1234</v>
      </c>
      <c r="B103" s="76" t="s">
        <v>2039</v>
      </c>
      <c r="C103" s="77" t="s">
        <v>1235</v>
      </c>
      <c r="D103" s="77" t="s">
        <v>142</v>
      </c>
      <c r="E103" s="77" t="s">
        <v>561</v>
      </c>
      <c r="F103" s="77" t="s">
        <v>126</v>
      </c>
      <c r="G103" s="77" t="s">
        <v>1210</v>
      </c>
      <c r="H103" s="77" t="s">
        <v>16</v>
      </c>
      <c r="I103" s="77" t="s">
        <v>994</v>
      </c>
      <c r="J103" s="83">
        <v>0</v>
      </c>
      <c r="K103" s="83">
        <v>0</v>
      </c>
      <c r="L103" s="83"/>
    </row>
    <row r="104" spans="1:18" hidden="1" x14ac:dyDescent="0.25">
      <c r="A104" s="76" t="s">
        <v>1309</v>
      </c>
      <c r="B104" s="76" t="s">
        <v>1310</v>
      </c>
      <c r="C104" s="77" t="s">
        <v>1311</v>
      </c>
      <c r="D104" s="77" t="s">
        <v>142</v>
      </c>
      <c r="E104" s="77" t="s">
        <v>561</v>
      </c>
      <c r="G104" s="77" t="s">
        <v>1312</v>
      </c>
      <c r="J104" s="79">
        <v>0</v>
      </c>
      <c r="K104" s="79">
        <v>0</v>
      </c>
      <c r="L104" s="79"/>
    </row>
    <row r="105" spans="1:18" hidden="1" x14ac:dyDescent="0.25">
      <c r="A105" s="76" t="s">
        <v>1313</v>
      </c>
      <c r="B105" s="76" t="s">
        <v>1314</v>
      </c>
      <c r="C105" s="77" t="s">
        <v>1315</v>
      </c>
      <c r="D105" s="77" t="s">
        <v>142</v>
      </c>
      <c r="E105" s="77" t="s">
        <v>561</v>
      </c>
      <c r="G105" s="77" t="s">
        <v>1261</v>
      </c>
      <c r="J105" s="79">
        <v>0</v>
      </c>
      <c r="K105" s="79">
        <v>0</v>
      </c>
      <c r="L105" s="79"/>
    </row>
    <row r="106" spans="1:18" hidden="1" x14ac:dyDescent="0.25">
      <c r="A106" s="76" t="s">
        <v>1317</v>
      </c>
      <c r="B106" s="76" t="s">
        <v>1318</v>
      </c>
      <c r="C106" s="77" t="s">
        <v>1319</v>
      </c>
      <c r="D106" s="77" t="s">
        <v>142</v>
      </c>
      <c r="E106" s="77" t="s">
        <v>561</v>
      </c>
      <c r="G106" s="77" t="s">
        <v>1320</v>
      </c>
      <c r="J106" s="79">
        <v>0</v>
      </c>
      <c r="K106" s="79">
        <v>0</v>
      </c>
      <c r="L106" s="79"/>
    </row>
    <row r="107" spans="1:18" x14ac:dyDescent="0.25">
      <c r="A107" s="76" t="s">
        <v>1246</v>
      </c>
      <c r="B107" s="76" t="s">
        <v>1700</v>
      </c>
      <c r="C107" s="76" t="s">
        <v>2019</v>
      </c>
      <c r="D107" s="77" t="s">
        <v>142</v>
      </c>
      <c r="E107" s="77"/>
      <c r="G107" s="77" t="s">
        <v>1750</v>
      </c>
      <c r="J107" s="74">
        <v>12456642</v>
      </c>
      <c r="K107" s="74">
        <v>12456642</v>
      </c>
      <c r="L107" s="74">
        <v>12456642</v>
      </c>
      <c r="M107" s="83">
        <v>0</v>
      </c>
      <c r="N107" s="83">
        <v>0</v>
      </c>
      <c r="O107" s="83">
        <v>0</v>
      </c>
    </row>
    <row r="108" spans="1:18" x14ac:dyDescent="0.25">
      <c r="A108" s="76" t="s">
        <v>1271</v>
      </c>
      <c r="B108" s="76" t="s">
        <v>1701</v>
      </c>
      <c r="C108" s="76" t="s">
        <v>2020</v>
      </c>
      <c r="D108" s="77" t="s">
        <v>142</v>
      </c>
      <c r="E108" s="77"/>
      <c r="G108" s="77" t="s">
        <v>1751</v>
      </c>
      <c r="J108" s="74">
        <v>0</v>
      </c>
      <c r="K108" s="74">
        <v>0</v>
      </c>
      <c r="L108" s="74">
        <v>0</v>
      </c>
      <c r="M108" s="83">
        <v>21457650</v>
      </c>
      <c r="N108" s="83">
        <v>0</v>
      </c>
      <c r="O108" s="83">
        <v>0</v>
      </c>
    </row>
    <row r="109" spans="1:18" x14ac:dyDescent="0.25">
      <c r="A109" s="76" t="s">
        <v>1275</v>
      </c>
      <c r="B109" s="76" t="s">
        <v>1702</v>
      </c>
      <c r="C109" s="76" t="s">
        <v>2021</v>
      </c>
      <c r="D109" s="77" t="s">
        <v>142</v>
      </c>
      <c r="E109" s="77"/>
      <c r="G109" s="77" t="s">
        <v>1752</v>
      </c>
      <c r="J109" s="74">
        <v>0</v>
      </c>
      <c r="K109" s="74">
        <v>0</v>
      </c>
      <c r="L109" s="74">
        <v>0</v>
      </c>
      <c r="M109" s="83">
        <f>28504459-261075.19+98</f>
        <v>28243481.809999999</v>
      </c>
      <c r="N109" s="83">
        <v>0</v>
      </c>
      <c r="O109" s="83">
        <v>0</v>
      </c>
    </row>
    <row r="110" spans="1:18" ht="14.25" customHeight="1" x14ac:dyDescent="0.25">
      <c r="A110" s="76" t="s">
        <v>1278</v>
      </c>
      <c r="B110" s="76" t="s">
        <v>1703</v>
      </c>
      <c r="C110" s="76" t="s">
        <v>2022</v>
      </c>
      <c r="D110" s="77" t="s">
        <v>142</v>
      </c>
      <c r="E110" s="77"/>
      <c r="G110" s="77" t="s">
        <v>1753</v>
      </c>
      <c r="J110" s="74">
        <v>0</v>
      </c>
      <c r="K110" s="74">
        <v>7602066</v>
      </c>
      <c r="L110" s="74">
        <v>7602066</v>
      </c>
      <c r="M110" s="83">
        <v>11897934</v>
      </c>
      <c r="N110" s="83">
        <v>0</v>
      </c>
      <c r="O110" s="83">
        <v>0</v>
      </c>
    </row>
    <row r="111" spans="1:18" x14ac:dyDescent="0.25">
      <c r="A111" s="76" t="s">
        <v>1915</v>
      </c>
      <c r="B111" s="76" t="s">
        <v>1844</v>
      </c>
      <c r="C111" s="76" t="s">
        <v>2030</v>
      </c>
      <c r="D111" s="77"/>
      <c r="E111" s="77"/>
      <c r="G111" s="77"/>
      <c r="J111" s="74">
        <v>0</v>
      </c>
      <c r="K111" s="74">
        <v>0</v>
      </c>
      <c r="L111" s="74">
        <v>0</v>
      </c>
      <c r="M111" s="79"/>
      <c r="N111" s="79"/>
      <c r="O111" s="79"/>
    </row>
    <row r="112" spans="1:18" x14ac:dyDescent="0.25">
      <c r="A112" s="76" t="s">
        <v>1916</v>
      </c>
      <c r="B112" s="76" t="s">
        <v>1845</v>
      </c>
      <c r="C112" s="76" t="s">
        <v>2031</v>
      </c>
      <c r="D112" s="77"/>
      <c r="E112" s="77"/>
      <c r="G112" s="77"/>
      <c r="J112" s="74">
        <v>8000000</v>
      </c>
      <c r="K112" s="74">
        <v>4080843</v>
      </c>
      <c r="L112" s="74">
        <v>4080843</v>
      </c>
      <c r="M112" s="79"/>
      <c r="N112" s="79"/>
      <c r="O112" s="79"/>
    </row>
    <row r="113" spans="1:15" x14ac:dyDescent="0.25">
      <c r="A113" s="76" t="s">
        <v>1917</v>
      </c>
      <c r="B113" s="76" t="s">
        <v>1846</v>
      </c>
      <c r="C113" s="76" t="s">
        <v>2032</v>
      </c>
      <c r="D113" s="77"/>
      <c r="E113" s="77"/>
      <c r="G113" s="77"/>
      <c r="J113" s="74">
        <v>12112641.1</v>
      </c>
      <c r="K113" s="74">
        <v>13556042</v>
      </c>
      <c r="L113" s="74">
        <v>13556042</v>
      </c>
      <c r="M113" s="79"/>
      <c r="N113" s="79"/>
      <c r="O113" s="79"/>
    </row>
    <row r="114" spans="1:15" x14ac:dyDescent="0.25">
      <c r="A114" s="76" t="s">
        <v>1918</v>
      </c>
      <c r="B114" s="76" t="s">
        <v>1847</v>
      </c>
      <c r="C114" s="76" t="s">
        <v>2033</v>
      </c>
      <c r="D114" s="77"/>
      <c r="E114" s="77"/>
      <c r="G114" s="77"/>
      <c r="J114" s="74">
        <v>8000000</v>
      </c>
      <c r="K114" s="74">
        <v>3918915</v>
      </c>
      <c r="L114" s="74">
        <v>3918915</v>
      </c>
      <c r="M114" s="79"/>
      <c r="N114" s="79"/>
      <c r="O114" s="79"/>
    </row>
    <row r="115" spans="1:15" x14ac:dyDescent="0.25">
      <c r="A115" s="76" t="s">
        <v>1997</v>
      </c>
      <c r="B115" s="77" t="s">
        <v>1871</v>
      </c>
      <c r="C115" s="132" t="s">
        <v>2134</v>
      </c>
      <c r="D115" s="77"/>
      <c r="E115" s="77"/>
      <c r="G115" s="77"/>
      <c r="J115" s="74">
        <v>20000000</v>
      </c>
      <c r="K115" s="74">
        <v>19285242</v>
      </c>
      <c r="L115" s="74">
        <v>19285242</v>
      </c>
      <c r="M115" s="79"/>
      <c r="N115" s="79"/>
      <c r="O115" s="79"/>
    </row>
    <row r="116" spans="1:15" s="134" customFormat="1" x14ac:dyDescent="0.25">
      <c r="A116" s="132" t="s">
        <v>2138</v>
      </c>
      <c r="B116" s="133" t="s">
        <v>2137</v>
      </c>
      <c r="C116" s="141" t="s">
        <v>2141</v>
      </c>
      <c r="D116" s="133"/>
      <c r="E116" s="133"/>
      <c r="G116" s="133"/>
      <c r="J116" s="74">
        <v>0</v>
      </c>
      <c r="K116" s="74">
        <v>0</v>
      </c>
      <c r="L116" s="74">
        <v>0</v>
      </c>
      <c r="M116" s="83">
        <v>3937908</v>
      </c>
      <c r="N116" s="83">
        <v>11900000</v>
      </c>
      <c r="O116" s="83">
        <v>0</v>
      </c>
    </row>
    <row r="117" spans="1:15" s="134" customFormat="1" x14ac:dyDescent="0.25">
      <c r="A117" s="132" t="s">
        <v>2140</v>
      </c>
      <c r="B117" s="52" t="s">
        <v>2121</v>
      </c>
      <c r="C117" s="141" t="s">
        <v>2142</v>
      </c>
      <c r="D117" s="133"/>
      <c r="E117" s="133"/>
      <c r="G117" s="133"/>
      <c r="J117" s="74">
        <v>0</v>
      </c>
      <c r="K117" s="74">
        <v>0</v>
      </c>
      <c r="L117" s="74">
        <v>0</v>
      </c>
      <c r="M117" s="83">
        <v>0</v>
      </c>
      <c r="N117" s="83">
        <f>18670000-270983.34</f>
        <v>18399016.66</v>
      </c>
      <c r="O117" s="83">
        <v>16530000</v>
      </c>
    </row>
    <row r="118" spans="1:15" s="134" customFormat="1" x14ac:dyDescent="0.25">
      <c r="A118" s="132" t="s">
        <v>2143</v>
      </c>
      <c r="B118" s="52" t="s">
        <v>2122</v>
      </c>
      <c r="C118" s="141" t="s">
        <v>2144</v>
      </c>
      <c r="D118" s="133"/>
      <c r="E118" s="133"/>
      <c r="G118" s="133"/>
      <c r="J118" s="74">
        <v>0</v>
      </c>
      <c r="K118" s="74">
        <v>0</v>
      </c>
      <c r="L118" s="74">
        <v>0</v>
      </c>
      <c r="M118" s="83">
        <v>0</v>
      </c>
      <c r="N118" s="83">
        <v>7048750</v>
      </c>
      <c r="O118" s="83">
        <f>20151250-2029738.09</f>
        <v>18121511.91</v>
      </c>
    </row>
    <row r="119" spans="1:15" s="134" customFormat="1" x14ac:dyDescent="0.25">
      <c r="A119" s="71" t="s">
        <v>2209</v>
      </c>
      <c r="B119" s="52" t="s">
        <v>2194</v>
      </c>
      <c r="C119" s="175" t="s">
        <v>2308</v>
      </c>
      <c r="D119" s="172"/>
      <c r="E119" s="172"/>
      <c r="G119" s="172"/>
      <c r="J119" s="74"/>
      <c r="K119" s="74"/>
      <c r="L119" s="74"/>
      <c r="M119" s="83">
        <v>0</v>
      </c>
      <c r="N119" s="83">
        <v>12299983.720000001</v>
      </c>
      <c r="O119" s="83">
        <v>6900016.2999999998</v>
      </c>
    </row>
    <row r="120" spans="1:15" s="134" customFormat="1" x14ac:dyDescent="0.25">
      <c r="A120" s="71" t="s">
        <v>2309</v>
      </c>
      <c r="B120" s="52" t="s">
        <v>2239</v>
      </c>
      <c r="C120" s="175" t="s">
        <v>2310</v>
      </c>
      <c r="D120" s="172"/>
      <c r="E120" s="172"/>
      <c r="G120" s="172"/>
      <c r="J120" s="74">
        <v>0</v>
      </c>
      <c r="K120" s="74">
        <v>0</v>
      </c>
      <c r="L120" s="74">
        <v>0</v>
      </c>
      <c r="M120" s="83">
        <v>0</v>
      </c>
      <c r="N120" s="83">
        <v>7092366.2800000003</v>
      </c>
      <c r="O120" s="83">
        <v>13707633.699999999</v>
      </c>
    </row>
    <row r="121" spans="1:15" s="134" customFormat="1" x14ac:dyDescent="0.25">
      <c r="A121" s="71" t="s">
        <v>2311</v>
      </c>
      <c r="B121" s="52" t="s">
        <v>2240</v>
      </c>
      <c r="C121" s="175" t="s">
        <v>2312</v>
      </c>
      <c r="D121" s="172"/>
      <c r="E121" s="172"/>
      <c r="G121" s="172"/>
      <c r="J121" s="74">
        <v>0</v>
      </c>
      <c r="K121" s="74">
        <v>0</v>
      </c>
      <c r="L121" s="74">
        <v>0</v>
      </c>
      <c r="M121" s="83">
        <v>0</v>
      </c>
      <c r="N121" s="83">
        <v>11710000</v>
      </c>
      <c r="O121" s="83">
        <v>16290000</v>
      </c>
    </row>
    <row r="122" spans="1:15" s="134" customFormat="1" hidden="1" x14ac:dyDescent="0.25">
      <c r="A122" s="159"/>
      <c r="B122" s="52"/>
      <c r="C122" s="175"/>
      <c r="D122" s="172"/>
      <c r="E122" s="172"/>
      <c r="G122" s="172"/>
      <c r="J122" s="74"/>
      <c r="K122" s="74"/>
      <c r="L122" s="74"/>
      <c r="M122" s="79"/>
      <c r="N122" s="79"/>
      <c r="O122" s="79"/>
    </row>
    <row r="123" spans="1:15" x14ac:dyDescent="0.25">
      <c r="A123" s="82"/>
      <c r="B123" s="76"/>
      <c r="C123" s="77"/>
      <c r="D123" s="77"/>
      <c r="E123" s="77"/>
      <c r="F123" s="77"/>
      <c r="G123" s="77"/>
      <c r="H123" s="77"/>
      <c r="I123" s="77"/>
    </row>
    <row r="124" spans="1:15" x14ac:dyDescent="0.25">
      <c r="A124" s="82"/>
      <c r="B124" s="76"/>
      <c r="C124" s="77"/>
      <c r="D124" s="77"/>
      <c r="E124" s="77"/>
      <c r="F124" s="77"/>
      <c r="G124" s="77"/>
      <c r="H124" s="77"/>
      <c r="I124" s="77"/>
      <c r="J124" s="86">
        <f t="shared" ref="J124" si="1">SUM(J99:J123)</f>
        <v>60569283.100000001</v>
      </c>
      <c r="K124" s="86">
        <f>SUM(K99:K123)</f>
        <v>60899750</v>
      </c>
      <c r="L124" s="86">
        <f>SUM(L99:L123)</f>
        <v>60899750</v>
      </c>
      <c r="M124" s="86">
        <f t="shared" ref="M124:N124" si="2">SUM(M99:M123)</f>
        <v>65536973.810000002</v>
      </c>
      <c r="N124" s="86">
        <f t="shared" si="2"/>
        <v>68450116.659999996</v>
      </c>
      <c r="O124" s="86">
        <f>SUM(O99:O123)</f>
        <v>71549161.909999996</v>
      </c>
    </row>
    <row r="125" spans="1:15" x14ac:dyDescent="0.25">
      <c r="A125" s="82"/>
      <c r="B125" s="76"/>
      <c r="C125" s="77"/>
      <c r="D125" s="77"/>
      <c r="E125" s="77"/>
      <c r="F125" s="77"/>
      <c r="G125" s="77"/>
      <c r="H125" s="77"/>
      <c r="I125" s="77"/>
    </row>
    <row r="126" spans="1:15" hidden="1" x14ac:dyDescent="0.25">
      <c r="A126" s="76" t="s">
        <v>1237</v>
      </c>
      <c r="B126" s="76" t="s">
        <v>1823</v>
      </c>
      <c r="C126" s="77" t="s">
        <v>1238</v>
      </c>
      <c r="D126" s="77" t="s">
        <v>354</v>
      </c>
      <c r="E126" s="77" t="s">
        <v>561</v>
      </c>
      <c r="F126" s="77" t="s">
        <v>364</v>
      </c>
      <c r="G126" s="77" t="s">
        <v>15</v>
      </c>
      <c r="H126" s="82"/>
      <c r="I126" s="87"/>
      <c r="J126" s="83">
        <v>0</v>
      </c>
      <c r="K126" s="83">
        <v>0</v>
      </c>
      <c r="L126" s="83"/>
    </row>
    <row r="127" spans="1:15" ht="16.5" customHeight="1" x14ac:dyDescent="0.25">
      <c r="A127" s="76" t="s">
        <v>1237</v>
      </c>
      <c r="B127" s="76" t="s">
        <v>1873</v>
      </c>
      <c r="C127" s="76" t="s">
        <v>2188</v>
      </c>
      <c r="D127" s="77"/>
      <c r="E127" s="77"/>
      <c r="F127" s="77"/>
      <c r="G127" s="77"/>
      <c r="H127" s="82"/>
      <c r="I127" s="87"/>
      <c r="J127" s="74">
        <f>12945804.88-6000000-672881+792000</f>
        <v>7064923.8800000008</v>
      </c>
      <c r="K127" s="83">
        <v>7064924</v>
      </c>
      <c r="L127" s="83">
        <v>7064924</v>
      </c>
      <c r="M127" s="83">
        <f>30543540.59-12000000</f>
        <v>18543540.59</v>
      </c>
      <c r="N127" s="83">
        <v>12000000</v>
      </c>
      <c r="O127" s="83">
        <v>0</v>
      </c>
    </row>
    <row r="128" spans="1:15" x14ac:dyDescent="0.25">
      <c r="A128" s="76" t="s">
        <v>1322</v>
      </c>
      <c r="B128" s="76" t="s">
        <v>1323</v>
      </c>
      <c r="C128" s="77" t="s">
        <v>1324</v>
      </c>
      <c r="D128" s="77" t="s">
        <v>354</v>
      </c>
      <c r="E128" s="77" t="s">
        <v>561</v>
      </c>
      <c r="G128" s="77" t="s">
        <v>1312</v>
      </c>
      <c r="J128" s="74">
        <v>2000000</v>
      </c>
      <c r="K128" s="83">
        <v>4045647</v>
      </c>
      <c r="L128" s="83">
        <v>4045647</v>
      </c>
      <c r="M128" s="83"/>
      <c r="N128" s="83"/>
      <c r="O128" s="83"/>
    </row>
    <row r="129" spans="1:15" x14ac:dyDescent="0.25">
      <c r="A129" s="76" t="s">
        <v>1211</v>
      </c>
      <c r="B129" s="76" t="s">
        <v>1212</v>
      </c>
      <c r="C129" s="77" t="s">
        <v>1213</v>
      </c>
      <c r="D129" s="77" t="s">
        <v>12</v>
      </c>
      <c r="E129" s="77" t="s">
        <v>782</v>
      </c>
      <c r="F129" s="77" t="s">
        <v>714</v>
      </c>
      <c r="G129" s="77" t="s">
        <v>292</v>
      </c>
      <c r="H129" s="77" t="s">
        <v>16</v>
      </c>
      <c r="I129" s="77" t="s">
        <v>715</v>
      </c>
      <c r="J129" s="74">
        <v>350000</v>
      </c>
      <c r="K129" s="105">
        <v>350000</v>
      </c>
      <c r="L129" s="105">
        <v>350000</v>
      </c>
      <c r="M129" s="83">
        <v>0</v>
      </c>
      <c r="N129" s="83">
        <v>0</v>
      </c>
      <c r="O129" s="83">
        <v>0</v>
      </c>
    </row>
    <row r="130" spans="1:15" x14ac:dyDescent="0.25">
      <c r="A130" s="76" t="s">
        <v>1214</v>
      </c>
      <c r="B130" s="76" t="s">
        <v>1215</v>
      </c>
      <c r="C130" s="77" t="s">
        <v>1216</v>
      </c>
      <c r="D130" s="77" t="s">
        <v>12</v>
      </c>
      <c r="E130" s="77" t="s">
        <v>782</v>
      </c>
      <c r="F130" s="77" t="s">
        <v>714</v>
      </c>
      <c r="G130" s="77" t="s">
        <v>292</v>
      </c>
      <c r="H130" s="77" t="s">
        <v>16</v>
      </c>
      <c r="I130" s="77" t="s">
        <v>715</v>
      </c>
      <c r="J130" s="74">
        <v>300000</v>
      </c>
      <c r="K130" s="105">
        <v>300000</v>
      </c>
      <c r="L130" s="105">
        <v>300000</v>
      </c>
      <c r="M130" s="83">
        <v>0</v>
      </c>
      <c r="N130" s="83">
        <v>0</v>
      </c>
      <c r="O130" s="83">
        <v>0</v>
      </c>
    </row>
    <row r="131" spans="1:15" x14ac:dyDescent="0.25">
      <c r="A131" s="76" t="s">
        <v>1217</v>
      </c>
      <c r="B131" s="76" t="s">
        <v>2056</v>
      </c>
      <c r="C131" s="77" t="s">
        <v>1219</v>
      </c>
      <c r="D131" s="77" t="s">
        <v>1220</v>
      </c>
      <c r="E131" s="77" t="s">
        <v>782</v>
      </c>
      <c r="F131" s="77" t="s">
        <v>714</v>
      </c>
      <c r="G131" s="77" t="s">
        <v>15</v>
      </c>
      <c r="H131" s="77" t="s">
        <v>16</v>
      </c>
      <c r="I131" s="77" t="s">
        <v>715</v>
      </c>
      <c r="J131" s="74">
        <v>1500000</v>
      </c>
      <c r="K131" s="74">
        <v>500000</v>
      </c>
      <c r="L131" s="74">
        <v>500000</v>
      </c>
      <c r="M131" s="83">
        <v>800000</v>
      </c>
      <c r="N131" s="83">
        <v>1000000</v>
      </c>
      <c r="O131" s="83">
        <v>2500000</v>
      </c>
    </row>
    <row r="132" spans="1:15" hidden="1" x14ac:dyDescent="0.25">
      <c r="A132" s="76" t="s">
        <v>1239</v>
      </c>
      <c r="B132" s="76" t="s">
        <v>1240</v>
      </c>
      <c r="C132" s="77" t="s">
        <v>1242</v>
      </c>
      <c r="D132" s="77" t="s">
        <v>1220</v>
      </c>
      <c r="E132" s="77" t="s">
        <v>782</v>
      </c>
      <c r="G132" s="77" t="s">
        <v>292</v>
      </c>
      <c r="J132" s="83">
        <v>0</v>
      </c>
      <c r="K132" s="83">
        <v>0</v>
      </c>
      <c r="L132" s="83">
        <v>0</v>
      </c>
    </row>
    <row r="133" spans="1:15" hidden="1" x14ac:dyDescent="0.25">
      <c r="A133" s="76" t="s">
        <v>1243</v>
      </c>
      <c r="B133" s="76" t="s">
        <v>1244</v>
      </c>
      <c r="C133" s="77" t="s">
        <v>1245</v>
      </c>
      <c r="D133" s="77" t="s">
        <v>354</v>
      </c>
      <c r="E133" s="77" t="s">
        <v>561</v>
      </c>
      <c r="G133" s="77" t="s">
        <v>292</v>
      </c>
      <c r="J133" s="134"/>
      <c r="K133" s="83"/>
      <c r="L133" s="83"/>
    </row>
    <row r="134" spans="1:15" s="107" customFormat="1" x14ac:dyDescent="0.25">
      <c r="A134" s="50" t="s">
        <v>1221</v>
      </c>
      <c r="B134" s="50" t="s">
        <v>1222</v>
      </c>
      <c r="C134" s="52" t="s">
        <v>1223</v>
      </c>
      <c r="D134" s="52" t="s">
        <v>354</v>
      </c>
      <c r="E134" s="52" t="s">
        <v>561</v>
      </c>
      <c r="F134" s="52" t="s">
        <v>1224</v>
      </c>
      <c r="G134" s="52" t="s">
        <v>292</v>
      </c>
      <c r="H134" s="52" t="s">
        <v>16</v>
      </c>
      <c r="I134" s="52" t="s">
        <v>302</v>
      </c>
      <c r="J134" s="105">
        <v>500000</v>
      </c>
      <c r="K134" s="114">
        <v>1675960</v>
      </c>
      <c r="L134" s="114">
        <v>1675960</v>
      </c>
      <c r="N134" s="106"/>
      <c r="O134" s="126"/>
    </row>
    <row r="135" spans="1:15" hidden="1" x14ac:dyDescent="0.25">
      <c r="A135" s="76" t="s">
        <v>1325</v>
      </c>
      <c r="B135" s="76" t="s">
        <v>1326</v>
      </c>
      <c r="C135" s="77" t="s">
        <v>1327</v>
      </c>
      <c r="D135" s="77" t="s">
        <v>354</v>
      </c>
      <c r="E135" s="77" t="s">
        <v>561</v>
      </c>
      <c r="G135" s="77" t="s">
        <v>292</v>
      </c>
      <c r="J135" s="134"/>
      <c r="K135" s="83"/>
      <c r="L135" s="83"/>
    </row>
    <row r="136" spans="1:15" x14ac:dyDescent="0.25">
      <c r="A136" s="76" t="s">
        <v>1246</v>
      </c>
      <c r="B136" s="76" t="s">
        <v>1247</v>
      </c>
      <c r="C136" s="77" t="s">
        <v>1248</v>
      </c>
      <c r="D136" s="77" t="s">
        <v>354</v>
      </c>
      <c r="E136" s="77" t="s">
        <v>561</v>
      </c>
      <c r="G136" s="77" t="s">
        <v>1249</v>
      </c>
      <c r="J136" s="74">
        <v>1000000</v>
      </c>
      <c r="K136" s="83">
        <v>0</v>
      </c>
      <c r="L136" s="83">
        <v>0</v>
      </c>
    </row>
    <row r="137" spans="1:15" x14ac:dyDescent="0.25">
      <c r="A137" s="76" t="s">
        <v>1342</v>
      </c>
      <c r="B137" s="76" t="s">
        <v>1343</v>
      </c>
      <c r="C137" s="77" t="s">
        <v>1344</v>
      </c>
      <c r="D137" s="77" t="s">
        <v>354</v>
      </c>
      <c r="E137" s="77" t="s">
        <v>561</v>
      </c>
      <c r="G137" s="77" t="s">
        <v>292</v>
      </c>
      <c r="J137" s="74">
        <v>500000</v>
      </c>
      <c r="K137" s="83">
        <v>500000</v>
      </c>
      <c r="L137" s="83">
        <v>500000</v>
      </c>
      <c r="M137" s="83">
        <v>1800000</v>
      </c>
      <c r="N137" s="83">
        <v>2000000</v>
      </c>
      <c r="O137" s="83">
        <v>8000000</v>
      </c>
    </row>
    <row r="138" spans="1:15" hidden="1" x14ac:dyDescent="0.25">
      <c r="A138" s="76" t="s">
        <v>1231</v>
      </c>
      <c r="B138" s="76" t="s">
        <v>1232</v>
      </c>
      <c r="C138" s="77"/>
      <c r="D138" s="77"/>
      <c r="E138" s="77"/>
      <c r="G138" s="77"/>
      <c r="J138" s="79">
        <v>0</v>
      </c>
      <c r="K138" s="79"/>
      <c r="L138" s="79"/>
      <c r="M138" s="83"/>
      <c r="N138" s="83"/>
      <c r="O138" s="83"/>
    </row>
    <row r="139" spans="1:15" hidden="1" x14ac:dyDescent="0.25">
      <c r="A139" s="76" t="s">
        <v>1328</v>
      </c>
      <c r="B139" s="76" t="s">
        <v>1329</v>
      </c>
      <c r="C139" s="77" t="s">
        <v>1330</v>
      </c>
      <c r="D139" s="77" t="s">
        <v>354</v>
      </c>
      <c r="E139" s="77" t="s">
        <v>561</v>
      </c>
      <c r="G139" s="77" t="s">
        <v>292</v>
      </c>
      <c r="J139" s="83">
        <v>0</v>
      </c>
      <c r="K139" s="83"/>
      <c r="L139" s="83"/>
      <c r="M139" s="83"/>
      <c r="N139" s="83"/>
      <c r="O139" s="83"/>
    </row>
    <row r="140" spans="1:15" hidden="1" x14ac:dyDescent="0.25">
      <c r="A140" s="76" t="s">
        <v>1336</v>
      </c>
      <c r="B140" s="76" t="s">
        <v>1337</v>
      </c>
      <c r="C140" s="77" t="s">
        <v>1338</v>
      </c>
      <c r="D140" s="77" t="s">
        <v>354</v>
      </c>
      <c r="E140" s="77" t="s">
        <v>561</v>
      </c>
      <c r="G140" s="77" t="s">
        <v>1308</v>
      </c>
      <c r="J140" s="134"/>
      <c r="M140" s="83"/>
      <c r="N140" s="83"/>
      <c r="O140" s="83"/>
    </row>
    <row r="141" spans="1:15" hidden="1" x14ac:dyDescent="0.25">
      <c r="A141" s="76" t="s">
        <v>1336</v>
      </c>
      <c r="B141" s="76" t="s">
        <v>1337</v>
      </c>
      <c r="C141" s="77" t="s">
        <v>1339</v>
      </c>
      <c r="D141" s="77" t="s">
        <v>354</v>
      </c>
      <c r="E141" s="77" t="s">
        <v>561</v>
      </c>
      <c r="G141" s="77" t="s">
        <v>1340</v>
      </c>
      <c r="J141" s="134"/>
      <c r="M141" s="83"/>
      <c r="N141" s="83"/>
      <c r="O141" s="83"/>
    </row>
    <row r="142" spans="1:15" hidden="1" x14ac:dyDescent="0.25">
      <c r="A142" s="76" t="s">
        <v>1336</v>
      </c>
      <c r="B142" s="76" t="s">
        <v>1337</v>
      </c>
      <c r="C142" s="77" t="s">
        <v>1341</v>
      </c>
      <c r="D142" s="77" t="s">
        <v>354</v>
      </c>
      <c r="E142" s="77" t="s">
        <v>561</v>
      </c>
      <c r="G142" s="77" t="s">
        <v>1226</v>
      </c>
      <c r="J142" s="134"/>
      <c r="M142" s="83"/>
      <c r="N142" s="83"/>
      <c r="O142" s="83"/>
    </row>
    <row r="143" spans="1:15" x14ac:dyDescent="0.25">
      <c r="A143" s="76" t="s">
        <v>1250</v>
      </c>
      <c r="B143" s="76" t="s">
        <v>1251</v>
      </c>
      <c r="C143" s="77" t="s">
        <v>1252</v>
      </c>
      <c r="D143" s="77" t="s">
        <v>354</v>
      </c>
      <c r="E143" s="77" t="s">
        <v>561</v>
      </c>
      <c r="G143" s="77" t="s">
        <v>292</v>
      </c>
      <c r="J143" s="129">
        <v>50000</v>
      </c>
      <c r="K143" s="129">
        <v>0</v>
      </c>
      <c r="L143" s="129">
        <v>0</v>
      </c>
      <c r="M143" s="83">
        <v>4000000</v>
      </c>
      <c r="N143" s="83">
        <v>0</v>
      </c>
      <c r="O143" s="83">
        <v>0</v>
      </c>
    </row>
    <row r="144" spans="1:15" hidden="1" x14ac:dyDescent="0.25">
      <c r="A144" s="76" t="s">
        <v>1253</v>
      </c>
      <c r="B144" s="76" t="s">
        <v>1254</v>
      </c>
      <c r="C144" s="77" t="s">
        <v>1255</v>
      </c>
      <c r="D144" s="77" t="s">
        <v>354</v>
      </c>
      <c r="E144" s="77" t="s">
        <v>561</v>
      </c>
      <c r="G144" s="77" t="s">
        <v>292</v>
      </c>
      <c r="J144" s="134"/>
    </row>
    <row r="145" spans="1:12" hidden="1" x14ac:dyDescent="0.25">
      <c r="A145" s="76" t="s">
        <v>1331</v>
      </c>
      <c r="B145" s="76" t="s">
        <v>1332</v>
      </c>
      <c r="C145" s="77" t="s">
        <v>1333</v>
      </c>
      <c r="D145" s="77" t="s">
        <v>354</v>
      </c>
      <c r="E145" s="77" t="s">
        <v>561</v>
      </c>
      <c r="G145" s="77" t="s">
        <v>292</v>
      </c>
      <c r="J145" s="79">
        <v>0</v>
      </c>
      <c r="K145" s="79"/>
      <c r="L145" s="79"/>
    </row>
    <row r="146" spans="1:12" hidden="1" x14ac:dyDescent="0.25">
      <c r="A146" s="76" t="s">
        <v>1256</v>
      </c>
      <c r="B146" s="76" t="s">
        <v>1257</v>
      </c>
      <c r="C146" s="77" t="s">
        <v>1258</v>
      </c>
      <c r="D146" s="77" t="s">
        <v>354</v>
      </c>
      <c r="E146" s="77" t="s">
        <v>561</v>
      </c>
      <c r="G146" s="77" t="s">
        <v>1218</v>
      </c>
      <c r="J146" s="134"/>
    </row>
    <row r="147" spans="1:12" hidden="1" x14ac:dyDescent="0.25">
      <c r="A147" s="76" t="s">
        <v>1256</v>
      </c>
      <c r="B147" s="76" t="s">
        <v>1257</v>
      </c>
      <c r="C147" s="77" t="s">
        <v>1259</v>
      </c>
      <c r="D147" s="77" t="s">
        <v>354</v>
      </c>
      <c r="E147" s="77" t="s">
        <v>561</v>
      </c>
      <c r="G147" s="77" t="s">
        <v>1226</v>
      </c>
      <c r="J147" s="134"/>
    </row>
    <row r="148" spans="1:12" hidden="1" x14ac:dyDescent="0.25">
      <c r="A148" s="76" t="s">
        <v>1256</v>
      </c>
      <c r="B148" s="76" t="s">
        <v>1257</v>
      </c>
      <c r="C148" s="77" t="s">
        <v>1260</v>
      </c>
      <c r="D148" s="77" t="s">
        <v>354</v>
      </c>
      <c r="E148" s="77" t="s">
        <v>561</v>
      </c>
      <c r="G148" s="77" t="s">
        <v>1261</v>
      </c>
      <c r="J148" s="134"/>
    </row>
    <row r="149" spans="1:12" hidden="1" x14ac:dyDescent="0.25">
      <c r="A149" s="76" t="s">
        <v>1256</v>
      </c>
      <c r="B149" s="76" t="s">
        <v>1257</v>
      </c>
      <c r="C149" s="77" t="s">
        <v>1262</v>
      </c>
      <c r="D149" s="77" t="s">
        <v>354</v>
      </c>
      <c r="E149" s="77" t="s">
        <v>561</v>
      </c>
      <c r="G149" s="77" t="s">
        <v>1263</v>
      </c>
      <c r="J149" s="134"/>
    </row>
    <row r="150" spans="1:12" hidden="1" x14ac:dyDescent="0.25">
      <c r="A150" s="76" t="s">
        <v>1256</v>
      </c>
      <c r="B150" s="76" t="s">
        <v>1257</v>
      </c>
      <c r="C150" s="77" t="s">
        <v>1264</v>
      </c>
      <c r="D150" s="77" t="s">
        <v>354</v>
      </c>
      <c r="E150" s="77" t="s">
        <v>561</v>
      </c>
      <c r="G150" s="77" t="s">
        <v>1265</v>
      </c>
      <c r="J150" s="134"/>
    </row>
    <row r="151" spans="1:12" hidden="1" x14ac:dyDescent="0.25">
      <c r="A151" s="76" t="s">
        <v>1256</v>
      </c>
      <c r="B151" s="76" t="s">
        <v>1257</v>
      </c>
      <c r="C151" s="77" t="s">
        <v>1266</v>
      </c>
      <c r="D151" s="77" t="s">
        <v>354</v>
      </c>
      <c r="E151" s="77" t="s">
        <v>561</v>
      </c>
      <c r="G151" s="77" t="s">
        <v>1218</v>
      </c>
      <c r="J151" s="134"/>
    </row>
    <row r="152" spans="1:12" hidden="1" x14ac:dyDescent="0.25">
      <c r="A152" s="76" t="s">
        <v>1256</v>
      </c>
      <c r="B152" s="76" t="s">
        <v>1257</v>
      </c>
      <c r="C152" s="77" t="s">
        <v>1267</v>
      </c>
      <c r="D152" s="77" t="s">
        <v>354</v>
      </c>
      <c r="E152" s="77" t="s">
        <v>561</v>
      </c>
      <c r="G152" s="77" t="s">
        <v>1226</v>
      </c>
      <c r="J152" s="134"/>
    </row>
    <row r="153" spans="1:12" hidden="1" x14ac:dyDescent="0.25">
      <c r="A153" s="76" t="s">
        <v>1256</v>
      </c>
      <c r="B153" s="76" t="s">
        <v>1257</v>
      </c>
      <c r="C153" s="77" t="s">
        <v>1268</v>
      </c>
      <c r="D153" s="77" t="s">
        <v>354</v>
      </c>
      <c r="E153" s="77" t="s">
        <v>561</v>
      </c>
      <c r="G153" s="77" t="s">
        <v>1261</v>
      </c>
      <c r="J153" s="134"/>
    </row>
    <row r="154" spans="1:12" hidden="1" x14ac:dyDescent="0.25">
      <c r="A154" s="76" t="s">
        <v>1256</v>
      </c>
      <c r="B154" s="76" t="s">
        <v>1257</v>
      </c>
      <c r="C154" s="77" t="s">
        <v>1269</v>
      </c>
      <c r="D154" s="77" t="s">
        <v>354</v>
      </c>
      <c r="E154" s="77" t="s">
        <v>561</v>
      </c>
      <c r="G154" s="77" t="s">
        <v>1263</v>
      </c>
      <c r="J154" s="134"/>
    </row>
    <row r="155" spans="1:12" hidden="1" x14ac:dyDescent="0.25">
      <c r="A155" s="76" t="s">
        <v>1256</v>
      </c>
      <c r="B155" s="76" t="s">
        <v>1257</v>
      </c>
      <c r="C155" s="77" t="s">
        <v>1270</v>
      </c>
      <c r="D155" s="77" t="s">
        <v>354</v>
      </c>
      <c r="E155" s="77" t="s">
        <v>561</v>
      </c>
      <c r="G155" s="77" t="s">
        <v>1265</v>
      </c>
      <c r="J155" s="134"/>
    </row>
    <row r="156" spans="1:12" hidden="1" x14ac:dyDescent="0.25">
      <c r="A156" s="76" t="s">
        <v>1271</v>
      </c>
      <c r="B156" s="76" t="s">
        <v>1272</v>
      </c>
      <c r="C156" s="77" t="s">
        <v>1273</v>
      </c>
      <c r="D156" s="77" t="s">
        <v>354</v>
      </c>
      <c r="E156" s="77" t="s">
        <v>561</v>
      </c>
      <c r="G156" s="77" t="s">
        <v>1274</v>
      </c>
      <c r="J156" s="134"/>
    </row>
    <row r="157" spans="1:12" hidden="1" x14ac:dyDescent="0.25">
      <c r="A157" s="76" t="s">
        <v>1275</v>
      </c>
      <c r="B157" s="76" t="s">
        <v>1276</v>
      </c>
      <c r="C157" s="77" t="s">
        <v>1277</v>
      </c>
      <c r="D157" s="77" t="s">
        <v>354</v>
      </c>
      <c r="E157" s="77" t="s">
        <v>561</v>
      </c>
      <c r="G157" s="77" t="s">
        <v>292</v>
      </c>
      <c r="J157" s="134"/>
    </row>
    <row r="158" spans="1:12" hidden="1" x14ac:dyDescent="0.25">
      <c r="A158" s="76" t="s">
        <v>1278</v>
      </c>
      <c r="B158" s="76" t="s">
        <v>1279</v>
      </c>
      <c r="C158" s="76" t="s">
        <v>1998</v>
      </c>
      <c r="D158" s="77" t="s">
        <v>354</v>
      </c>
      <c r="E158" s="77" t="s">
        <v>561</v>
      </c>
      <c r="G158" s="77" t="s">
        <v>292</v>
      </c>
      <c r="J158" s="134"/>
    </row>
    <row r="159" spans="1:12" hidden="1" x14ac:dyDescent="0.25">
      <c r="A159" s="76" t="s">
        <v>1283</v>
      </c>
      <c r="B159" s="76" t="s">
        <v>1284</v>
      </c>
      <c r="C159" s="77" t="s">
        <v>1285</v>
      </c>
      <c r="D159" s="77" t="s">
        <v>354</v>
      </c>
      <c r="E159" s="77" t="s">
        <v>561</v>
      </c>
      <c r="G159" s="77" t="s">
        <v>292</v>
      </c>
      <c r="J159" s="134"/>
    </row>
    <row r="160" spans="1:12" hidden="1" x14ac:dyDescent="0.25">
      <c r="A160" s="76" t="s">
        <v>1280</v>
      </c>
      <c r="B160" s="76" t="s">
        <v>1281</v>
      </c>
      <c r="C160" s="77" t="s">
        <v>1282</v>
      </c>
      <c r="D160" s="77" t="s">
        <v>1220</v>
      </c>
      <c r="E160" s="77" t="s">
        <v>1241</v>
      </c>
      <c r="G160" s="77" t="s">
        <v>292</v>
      </c>
      <c r="J160" s="130">
        <v>0</v>
      </c>
      <c r="K160" s="138"/>
      <c r="L160" s="138"/>
    </row>
    <row r="161" spans="1:15" x14ac:dyDescent="0.25">
      <c r="A161" s="76" t="s">
        <v>1334</v>
      </c>
      <c r="B161" s="76" t="s">
        <v>1335</v>
      </c>
      <c r="C161" s="77" t="s">
        <v>2189</v>
      </c>
      <c r="D161" s="77" t="s">
        <v>354</v>
      </c>
      <c r="E161" s="77" t="s">
        <v>561</v>
      </c>
      <c r="G161" s="77" t="s">
        <v>1306</v>
      </c>
      <c r="J161" s="74">
        <v>50000</v>
      </c>
      <c r="K161" s="144">
        <v>0</v>
      </c>
      <c r="L161" s="144">
        <v>0</v>
      </c>
      <c r="M161" s="185">
        <v>1000000</v>
      </c>
      <c r="N161" s="83">
        <v>9000000</v>
      </c>
      <c r="O161" s="83">
        <v>0</v>
      </c>
    </row>
    <row r="162" spans="1:15" x14ac:dyDescent="0.25">
      <c r="A162" s="76" t="s">
        <v>1345</v>
      </c>
      <c r="B162" s="76" t="s">
        <v>1346</v>
      </c>
      <c r="C162" s="77" t="s">
        <v>1347</v>
      </c>
      <c r="D162" s="77" t="s">
        <v>12</v>
      </c>
      <c r="E162" s="77" t="s">
        <v>782</v>
      </c>
      <c r="G162" s="77" t="s">
        <v>1236</v>
      </c>
      <c r="J162" s="74">
        <v>1000000</v>
      </c>
      <c r="K162" s="105">
        <v>500000</v>
      </c>
      <c r="L162" s="105">
        <v>500000</v>
      </c>
      <c r="M162" s="185">
        <v>500000</v>
      </c>
      <c r="N162" s="83">
        <f>500000+400000</f>
        <v>900000</v>
      </c>
      <c r="O162" s="83">
        <f>500000+400000</f>
        <v>900000</v>
      </c>
    </row>
    <row r="163" spans="1:15" x14ac:dyDescent="0.25">
      <c r="A163" s="76" t="s">
        <v>1348</v>
      </c>
      <c r="B163" s="76" t="s">
        <v>1349</v>
      </c>
      <c r="C163" s="77" t="s">
        <v>1350</v>
      </c>
      <c r="D163" s="77" t="s">
        <v>12</v>
      </c>
      <c r="E163" s="77" t="s">
        <v>782</v>
      </c>
      <c r="G163" s="77" t="s">
        <v>292</v>
      </c>
      <c r="J163" s="74">
        <v>900000</v>
      </c>
      <c r="K163" s="74">
        <v>520000</v>
      </c>
      <c r="L163" s="74">
        <v>520000</v>
      </c>
      <c r="M163" s="83">
        <v>1000000</v>
      </c>
      <c r="N163" s="83">
        <v>500000</v>
      </c>
      <c r="O163" s="83">
        <v>500000</v>
      </c>
    </row>
    <row r="164" spans="1:15" x14ac:dyDescent="0.25">
      <c r="A164" s="76" t="s">
        <v>1351</v>
      </c>
      <c r="B164" s="76" t="s">
        <v>1352</v>
      </c>
      <c r="C164" s="77" t="s">
        <v>1353</v>
      </c>
      <c r="D164" s="77" t="s">
        <v>12</v>
      </c>
      <c r="E164" s="77" t="s">
        <v>1205</v>
      </c>
      <c r="G164" s="77" t="s">
        <v>292</v>
      </c>
      <c r="J164" s="74">
        <v>500000</v>
      </c>
      <c r="K164" s="74">
        <v>500000</v>
      </c>
      <c r="L164" s="74">
        <v>500000</v>
      </c>
      <c r="M164" s="83">
        <v>700000</v>
      </c>
      <c r="N164" s="83">
        <v>300000</v>
      </c>
      <c r="O164" s="83">
        <v>300000</v>
      </c>
    </row>
    <row r="165" spans="1:15" x14ac:dyDescent="0.25">
      <c r="A165" s="76" t="s">
        <v>1354</v>
      </c>
      <c r="B165" s="76" t="s">
        <v>1355</v>
      </c>
      <c r="C165" s="77" t="s">
        <v>1356</v>
      </c>
      <c r="D165" s="77" t="s">
        <v>12</v>
      </c>
      <c r="E165" s="77" t="s">
        <v>782</v>
      </c>
      <c r="G165" s="77" t="s">
        <v>292</v>
      </c>
      <c r="J165" s="74">
        <v>300000</v>
      </c>
      <c r="K165" s="74">
        <v>150000</v>
      </c>
      <c r="L165" s="74">
        <v>150000</v>
      </c>
      <c r="M165" s="83">
        <v>400000</v>
      </c>
      <c r="N165" s="83">
        <v>500000</v>
      </c>
      <c r="O165" s="83">
        <v>500000</v>
      </c>
    </row>
    <row r="166" spans="1:15" x14ac:dyDescent="0.25">
      <c r="A166" s="76" t="s">
        <v>1357</v>
      </c>
      <c r="B166" s="76" t="s">
        <v>1358</v>
      </c>
      <c r="C166" s="77" t="s">
        <v>1359</v>
      </c>
      <c r="D166" s="77" t="s">
        <v>12</v>
      </c>
      <c r="E166" s="77" t="s">
        <v>782</v>
      </c>
      <c r="G166" s="77" t="s">
        <v>292</v>
      </c>
      <c r="J166" s="74">
        <v>300000</v>
      </c>
      <c r="K166" s="74">
        <v>300000</v>
      </c>
      <c r="L166" s="74">
        <v>300000</v>
      </c>
      <c r="M166" s="83">
        <v>500000</v>
      </c>
      <c r="N166" s="83">
        <v>1000000</v>
      </c>
      <c r="O166" s="83">
        <v>1000000</v>
      </c>
    </row>
    <row r="167" spans="1:15" x14ac:dyDescent="0.25">
      <c r="A167" s="76" t="s">
        <v>1360</v>
      </c>
      <c r="B167" s="76" t="s">
        <v>1361</v>
      </c>
      <c r="C167" s="77" t="s">
        <v>1362</v>
      </c>
      <c r="D167" s="77" t="s">
        <v>12</v>
      </c>
      <c r="E167" s="77" t="s">
        <v>782</v>
      </c>
      <c r="G167" s="77" t="s">
        <v>292</v>
      </c>
      <c r="J167" s="74">
        <v>400000</v>
      </c>
      <c r="K167" s="74">
        <v>400000</v>
      </c>
      <c r="L167" s="74">
        <v>400000</v>
      </c>
      <c r="M167" s="83">
        <v>500000</v>
      </c>
      <c r="N167" s="83">
        <v>800000</v>
      </c>
      <c r="O167" s="83">
        <v>800000</v>
      </c>
    </row>
    <row r="168" spans="1:15" x14ac:dyDescent="0.25">
      <c r="A168" s="76" t="s">
        <v>1371</v>
      </c>
      <c r="B168" s="76" t="s">
        <v>1372</v>
      </c>
      <c r="C168" s="77" t="s">
        <v>1373</v>
      </c>
      <c r="D168" s="77" t="s">
        <v>12</v>
      </c>
      <c r="E168" s="77" t="s">
        <v>782</v>
      </c>
      <c r="G168" s="77" t="s">
        <v>1374</v>
      </c>
      <c r="J168" s="74">
        <v>300000</v>
      </c>
      <c r="K168" s="74">
        <v>300000</v>
      </c>
      <c r="L168" s="74">
        <v>300000</v>
      </c>
      <c r="M168" s="83">
        <v>700000</v>
      </c>
      <c r="N168" s="83">
        <v>900000</v>
      </c>
      <c r="O168" s="83">
        <v>900000</v>
      </c>
    </row>
    <row r="169" spans="1:15" x14ac:dyDescent="0.25">
      <c r="A169" s="76" t="s">
        <v>1363</v>
      </c>
      <c r="B169" s="76" t="s">
        <v>1364</v>
      </c>
      <c r="C169" s="77" t="s">
        <v>1365</v>
      </c>
      <c r="D169" s="77" t="s">
        <v>12</v>
      </c>
      <c r="E169" s="77" t="s">
        <v>1366</v>
      </c>
      <c r="G169" s="77" t="s">
        <v>292</v>
      </c>
      <c r="J169" s="74">
        <v>400000</v>
      </c>
      <c r="K169" s="74">
        <v>500000</v>
      </c>
      <c r="L169" s="74">
        <v>500000</v>
      </c>
      <c r="M169" s="83">
        <v>600000</v>
      </c>
      <c r="N169" s="83">
        <v>300000</v>
      </c>
      <c r="O169" s="83">
        <v>300000</v>
      </c>
    </row>
    <row r="170" spans="1:15" x14ac:dyDescent="0.25">
      <c r="A170" s="76" t="s">
        <v>1367</v>
      </c>
      <c r="B170" s="76" t="s">
        <v>1368</v>
      </c>
      <c r="C170" s="77" t="s">
        <v>1369</v>
      </c>
      <c r="D170" s="77" t="s">
        <v>12</v>
      </c>
      <c r="E170" s="77" t="s">
        <v>1370</v>
      </c>
      <c r="G170" s="77" t="s">
        <v>292</v>
      </c>
      <c r="J170" s="74">
        <v>400000</v>
      </c>
      <c r="K170" s="74">
        <v>300000</v>
      </c>
      <c r="L170" s="74">
        <v>300000</v>
      </c>
      <c r="M170" s="83">
        <v>700000</v>
      </c>
      <c r="N170" s="83">
        <v>0</v>
      </c>
      <c r="O170" s="83">
        <v>0</v>
      </c>
    </row>
    <row r="171" spans="1:15" hidden="1" x14ac:dyDescent="0.25">
      <c r="A171" s="76" t="s">
        <v>1375</v>
      </c>
      <c r="B171" s="76" t="s">
        <v>1376</v>
      </c>
      <c r="C171" s="77" t="s">
        <v>1377</v>
      </c>
      <c r="D171" s="77" t="s">
        <v>354</v>
      </c>
      <c r="E171" s="77" t="s">
        <v>561</v>
      </c>
      <c r="G171" s="77" t="s">
        <v>292</v>
      </c>
      <c r="J171" s="83">
        <v>0</v>
      </c>
      <c r="K171" s="83">
        <v>0</v>
      </c>
      <c r="L171" s="83">
        <v>0</v>
      </c>
      <c r="M171" s="83"/>
      <c r="N171" s="83"/>
      <c r="O171" s="83"/>
    </row>
    <row r="172" spans="1:15" hidden="1" x14ac:dyDescent="0.25">
      <c r="A172" s="76" t="s">
        <v>1378</v>
      </c>
      <c r="B172" s="76" t="s">
        <v>1379</v>
      </c>
      <c r="C172" s="77" t="s">
        <v>1380</v>
      </c>
      <c r="D172" s="77" t="s">
        <v>354</v>
      </c>
      <c r="E172" s="77" t="s">
        <v>561</v>
      </c>
      <c r="G172" s="77" t="s">
        <v>1206</v>
      </c>
      <c r="J172" s="83">
        <v>0</v>
      </c>
      <c r="K172" s="83">
        <v>0</v>
      </c>
      <c r="L172" s="83">
        <v>0</v>
      </c>
      <c r="M172" s="83"/>
      <c r="N172" s="83"/>
      <c r="O172" s="83"/>
    </row>
    <row r="173" spans="1:15" x14ac:dyDescent="0.25">
      <c r="A173" s="76" t="s">
        <v>1381</v>
      </c>
      <c r="B173" s="76" t="s">
        <v>1382</v>
      </c>
      <c r="C173" s="77" t="s">
        <v>1383</v>
      </c>
      <c r="D173" s="77" t="s">
        <v>354</v>
      </c>
      <c r="E173" s="77" t="s">
        <v>561</v>
      </c>
      <c r="G173" s="77" t="s">
        <v>292</v>
      </c>
      <c r="J173" s="74">
        <v>1000000</v>
      </c>
      <c r="K173" s="74">
        <v>1000000</v>
      </c>
      <c r="L173" s="74">
        <v>1000000</v>
      </c>
      <c r="M173" s="83">
        <v>600000</v>
      </c>
      <c r="N173" s="83">
        <v>800000</v>
      </c>
      <c r="O173" s="83">
        <v>800000</v>
      </c>
    </row>
    <row r="174" spans="1:15" x14ac:dyDescent="0.25">
      <c r="A174" s="76" t="s">
        <v>1313</v>
      </c>
      <c r="B174" s="76" t="s">
        <v>1314</v>
      </c>
      <c r="C174" s="77" t="s">
        <v>1316</v>
      </c>
      <c r="D174" s="77"/>
      <c r="E174" s="77"/>
      <c r="G174" s="77"/>
      <c r="J174" s="138">
        <v>50000</v>
      </c>
      <c r="K174" s="74">
        <v>0</v>
      </c>
      <c r="L174" s="74">
        <v>0</v>
      </c>
      <c r="M174" s="185">
        <v>2500000</v>
      </c>
      <c r="N174" s="83">
        <v>0</v>
      </c>
      <c r="O174" s="83">
        <v>0</v>
      </c>
    </row>
    <row r="175" spans="1:15" x14ac:dyDescent="0.25">
      <c r="A175" s="76" t="s">
        <v>1317</v>
      </c>
      <c r="B175" s="76" t="s">
        <v>1318</v>
      </c>
      <c r="C175" s="77" t="s">
        <v>1321</v>
      </c>
      <c r="D175" s="77"/>
      <c r="E175" s="77"/>
      <c r="G175" s="77"/>
      <c r="J175" s="138">
        <v>1500000</v>
      </c>
      <c r="K175" s="74">
        <v>3500000</v>
      </c>
      <c r="L175" s="74">
        <v>3500000</v>
      </c>
      <c r="M175" s="185">
        <v>500000</v>
      </c>
      <c r="N175" s="83"/>
      <c r="O175" s="83"/>
    </row>
    <row r="176" spans="1:15" x14ac:dyDescent="0.25">
      <c r="A176" s="76" t="s">
        <v>1785</v>
      </c>
      <c r="B176" s="76" t="s">
        <v>1310</v>
      </c>
      <c r="C176" s="76" t="s">
        <v>2189</v>
      </c>
      <c r="D176" s="77"/>
      <c r="E176" s="77"/>
      <c r="G176" s="77"/>
      <c r="J176" s="74">
        <v>50000</v>
      </c>
      <c r="K176" s="74">
        <v>0</v>
      </c>
      <c r="L176" s="74">
        <v>0</v>
      </c>
      <c r="M176" s="83">
        <v>1000000</v>
      </c>
      <c r="N176" s="83">
        <v>3000000</v>
      </c>
      <c r="O176" s="83">
        <v>0</v>
      </c>
    </row>
    <row r="177" spans="1:15" x14ac:dyDescent="0.25">
      <c r="A177" s="76" t="s">
        <v>1207</v>
      </c>
      <c r="B177" s="76" t="s">
        <v>1208</v>
      </c>
      <c r="C177" s="77" t="s">
        <v>1209</v>
      </c>
      <c r="D177" s="77" t="s">
        <v>12</v>
      </c>
      <c r="E177" s="77" t="s">
        <v>1205</v>
      </c>
      <c r="F177" s="77" t="s">
        <v>637</v>
      </c>
      <c r="G177" s="77" t="s">
        <v>1210</v>
      </c>
      <c r="H177" s="77" t="s">
        <v>16</v>
      </c>
      <c r="I177" s="77" t="s">
        <v>715</v>
      </c>
      <c r="J177" s="74">
        <v>200000</v>
      </c>
      <c r="K177" s="74">
        <v>0</v>
      </c>
      <c r="L177" s="74">
        <v>0</v>
      </c>
      <c r="M177" s="83">
        <v>300000</v>
      </c>
      <c r="N177" s="83">
        <v>300000</v>
      </c>
      <c r="O177" s="83">
        <v>300000</v>
      </c>
    </row>
    <row r="178" spans="1:15" x14ac:dyDescent="0.25">
      <c r="A178" s="76" t="s">
        <v>1786</v>
      </c>
      <c r="B178" s="76" t="s">
        <v>1883</v>
      </c>
      <c r="C178" s="76" t="s">
        <v>1800</v>
      </c>
      <c r="D178" s="77"/>
      <c r="E178" s="77"/>
      <c r="G178" s="77"/>
      <c r="J178" s="74">
        <v>400000</v>
      </c>
      <c r="K178" s="74">
        <v>400000</v>
      </c>
      <c r="L178" s="74">
        <v>400000</v>
      </c>
      <c r="M178" s="83">
        <v>600000</v>
      </c>
      <c r="N178" s="83">
        <v>800000</v>
      </c>
      <c r="O178" s="83">
        <v>800000</v>
      </c>
    </row>
    <row r="179" spans="1:15" x14ac:dyDescent="0.25">
      <c r="A179" s="76" t="s">
        <v>1787</v>
      </c>
      <c r="B179" s="76" t="s">
        <v>1686</v>
      </c>
      <c r="C179" s="76" t="s">
        <v>1801</v>
      </c>
      <c r="D179" s="77"/>
      <c r="E179" s="77"/>
      <c r="G179" s="77"/>
      <c r="J179" s="74">
        <v>300000</v>
      </c>
      <c r="K179" s="74">
        <v>600000</v>
      </c>
      <c r="L179" s="74">
        <v>600000</v>
      </c>
      <c r="M179" s="83">
        <v>600000</v>
      </c>
      <c r="N179" s="83">
        <v>100000</v>
      </c>
      <c r="O179" s="83">
        <v>100000</v>
      </c>
    </row>
    <row r="180" spans="1:15" x14ac:dyDescent="0.25">
      <c r="A180" s="76" t="s">
        <v>1788</v>
      </c>
      <c r="B180" s="76" t="s">
        <v>1876</v>
      </c>
      <c r="C180" s="76" t="s">
        <v>1802</v>
      </c>
      <c r="D180" s="77"/>
      <c r="E180" s="77"/>
      <c r="G180" s="77"/>
      <c r="J180" s="74">
        <v>300000</v>
      </c>
      <c r="K180" s="74">
        <v>480000</v>
      </c>
      <c r="L180" s="74">
        <v>480000</v>
      </c>
      <c r="M180" s="83">
        <v>500000</v>
      </c>
      <c r="N180" s="83">
        <v>900000</v>
      </c>
      <c r="O180" s="83">
        <v>900000</v>
      </c>
    </row>
    <row r="181" spans="1:15" x14ac:dyDescent="0.25">
      <c r="A181" s="76" t="s">
        <v>1991</v>
      </c>
      <c r="B181" s="76" t="s">
        <v>1864</v>
      </c>
      <c r="C181" s="76" t="s">
        <v>1990</v>
      </c>
      <c r="D181" s="77"/>
      <c r="E181" s="77"/>
      <c r="G181" s="77"/>
      <c r="J181" s="74">
        <v>200000</v>
      </c>
      <c r="K181" s="74">
        <v>450000</v>
      </c>
      <c r="L181" s="74">
        <v>450000</v>
      </c>
      <c r="M181" s="83">
        <v>600000</v>
      </c>
      <c r="N181" s="83">
        <v>400000</v>
      </c>
      <c r="O181" s="83">
        <v>400000</v>
      </c>
    </row>
    <row r="182" spans="1:15" x14ac:dyDescent="0.25">
      <c r="A182" s="76" t="s">
        <v>1993</v>
      </c>
      <c r="B182" s="76" t="s">
        <v>1848</v>
      </c>
      <c r="C182" s="76" t="s">
        <v>1992</v>
      </c>
      <c r="D182" s="77"/>
      <c r="E182" s="77"/>
      <c r="G182" s="77"/>
      <c r="J182" s="74">
        <v>300000</v>
      </c>
      <c r="K182" s="74">
        <v>0</v>
      </c>
      <c r="L182" s="74">
        <v>0</v>
      </c>
      <c r="M182" s="83">
        <v>500000</v>
      </c>
      <c r="N182" s="83">
        <v>600000</v>
      </c>
      <c r="O182" s="83">
        <v>600000</v>
      </c>
    </row>
    <row r="183" spans="1:15" x14ac:dyDescent="0.25">
      <c r="A183" s="76" t="s">
        <v>1789</v>
      </c>
      <c r="B183" s="76" t="s">
        <v>1705</v>
      </c>
      <c r="C183" s="76" t="s">
        <v>2047</v>
      </c>
      <c r="D183" s="77"/>
      <c r="E183" s="77"/>
      <c r="F183" s="77"/>
      <c r="G183" s="77"/>
      <c r="H183" s="77"/>
      <c r="I183" s="77"/>
      <c r="J183" s="83">
        <v>0</v>
      </c>
      <c r="K183" s="74">
        <v>182042</v>
      </c>
      <c r="L183" s="74">
        <v>182042</v>
      </c>
      <c r="M183" s="83">
        <v>0</v>
      </c>
      <c r="N183" s="83">
        <v>15000000</v>
      </c>
      <c r="O183" s="83">
        <v>0</v>
      </c>
    </row>
    <row r="184" spans="1:15" hidden="1" x14ac:dyDescent="0.25">
      <c r="A184" s="76" t="s">
        <v>1790</v>
      </c>
      <c r="B184" s="77" t="s">
        <v>353</v>
      </c>
      <c r="C184" s="77" t="s">
        <v>352</v>
      </c>
      <c r="D184" s="77" t="s">
        <v>354</v>
      </c>
      <c r="E184" s="77" t="s">
        <v>1721</v>
      </c>
      <c r="F184" s="77" t="s">
        <v>323</v>
      </c>
      <c r="G184" s="77" t="s">
        <v>15</v>
      </c>
      <c r="H184" s="77" t="s">
        <v>16</v>
      </c>
      <c r="I184" s="77" t="s">
        <v>324</v>
      </c>
      <c r="J184" s="83">
        <v>0</v>
      </c>
      <c r="K184" s="83">
        <v>0</v>
      </c>
      <c r="L184" s="83">
        <v>0</v>
      </c>
    </row>
    <row r="185" spans="1:15" hidden="1" x14ac:dyDescent="0.25">
      <c r="A185" s="76" t="s">
        <v>1791</v>
      </c>
      <c r="B185" s="77" t="s">
        <v>1675</v>
      </c>
      <c r="C185" s="76" t="s">
        <v>1803</v>
      </c>
      <c r="D185" s="77"/>
      <c r="E185" s="77" t="s">
        <v>1675</v>
      </c>
      <c r="F185" s="77"/>
      <c r="G185" s="77"/>
      <c r="H185" s="77"/>
      <c r="I185" s="77"/>
      <c r="J185" s="83">
        <v>0</v>
      </c>
      <c r="K185" s="83">
        <v>0</v>
      </c>
      <c r="L185" s="83">
        <v>0</v>
      </c>
    </row>
    <row r="186" spans="1:15" x14ac:dyDescent="0.25">
      <c r="A186" s="76" t="s">
        <v>1792</v>
      </c>
      <c r="B186" s="77" t="s">
        <v>1722</v>
      </c>
      <c r="C186" s="76" t="s">
        <v>1804</v>
      </c>
      <c r="D186" s="77"/>
      <c r="E186" s="77" t="s">
        <v>1722</v>
      </c>
      <c r="F186" s="77"/>
      <c r="G186" s="77"/>
      <c r="H186" s="77"/>
      <c r="I186" s="77"/>
      <c r="J186" s="105">
        <v>400000</v>
      </c>
      <c r="K186" s="74">
        <v>400000</v>
      </c>
      <c r="L186" s="74">
        <v>400000</v>
      </c>
    </row>
    <row r="187" spans="1:15" x14ac:dyDescent="0.25">
      <c r="A187" s="76" t="s">
        <v>1793</v>
      </c>
      <c r="B187" s="77" t="s">
        <v>2103</v>
      </c>
      <c r="C187" s="76" t="s">
        <v>1805</v>
      </c>
      <c r="D187" s="77"/>
      <c r="E187" s="77" t="s">
        <v>1676</v>
      </c>
      <c r="F187" s="77"/>
      <c r="G187" s="77"/>
      <c r="H187" s="77"/>
      <c r="I187" s="77"/>
      <c r="J187" s="105">
        <v>300000</v>
      </c>
      <c r="K187" s="74">
        <v>300000</v>
      </c>
      <c r="L187" s="74">
        <v>300000</v>
      </c>
    </row>
    <row r="188" spans="1:15" x14ac:dyDescent="0.25">
      <c r="A188" s="76" t="s">
        <v>1794</v>
      </c>
      <c r="B188" s="77" t="s">
        <v>1677</v>
      </c>
      <c r="C188" s="76" t="s">
        <v>1806</v>
      </c>
      <c r="D188" s="77"/>
      <c r="E188" s="77" t="s">
        <v>1677</v>
      </c>
      <c r="F188" s="77"/>
      <c r="G188" s="77"/>
      <c r="H188" s="77"/>
      <c r="I188" s="77"/>
      <c r="J188" s="105">
        <v>300000</v>
      </c>
      <c r="K188" s="74">
        <v>0</v>
      </c>
      <c r="L188" s="74">
        <v>0</v>
      </c>
    </row>
    <row r="189" spans="1:15" s="107" customFormat="1" x14ac:dyDescent="0.25">
      <c r="A189" s="50" t="s">
        <v>1795</v>
      </c>
      <c r="B189" s="52" t="s">
        <v>1685</v>
      </c>
      <c r="C189" s="50" t="s">
        <v>1807</v>
      </c>
      <c r="D189" s="52"/>
      <c r="E189" s="52" t="s">
        <v>1685</v>
      </c>
      <c r="F189" s="52"/>
      <c r="G189" s="52"/>
      <c r="H189" s="52"/>
      <c r="I189" s="52"/>
      <c r="J189" s="105">
        <v>300000</v>
      </c>
      <c r="K189" s="105">
        <v>300000</v>
      </c>
      <c r="L189" s="105">
        <v>300000</v>
      </c>
    </row>
    <row r="190" spans="1:15" s="107" customFormat="1" hidden="1" x14ac:dyDescent="0.25">
      <c r="A190" s="50" t="s">
        <v>1995</v>
      </c>
      <c r="B190" s="52" t="s">
        <v>1884</v>
      </c>
      <c r="C190" s="50" t="s">
        <v>1994</v>
      </c>
      <c r="D190" s="52"/>
      <c r="E190" s="52"/>
      <c r="F190" s="52"/>
      <c r="G190" s="52"/>
      <c r="H190" s="52"/>
      <c r="I190" s="52"/>
      <c r="J190" s="105">
        <v>0</v>
      </c>
      <c r="K190" s="105">
        <v>0</v>
      </c>
      <c r="L190" s="105">
        <v>0</v>
      </c>
    </row>
    <row r="191" spans="1:15" s="107" customFormat="1" x14ac:dyDescent="0.25">
      <c r="A191" s="50" t="s">
        <v>1796</v>
      </c>
      <c r="B191" s="52" t="s">
        <v>1699</v>
      </c>
      <c r="C191" s="50" t="s">
        <v>2227</v>
      </c>
      <c r="D191" s="52"/>
      <c r="E191" s="52" t="s">
        <v>1699</v>
      </c>
      <c r="F191" s="52"/>
      <c r="G191" s="52"/>
      <c r="H191" s="52"/>
      <c r="I191" s="52"/>
      <c r="J191" s="105">
        <v>1170000</v>
      </c>
      <c r="K191" s="105">
        <v>200000</v>
      </c>
      <c r="L191" s="105">
        <v>200000</v>
      </c>
    </row>
    <row r="192" spans="1:15" hidden="1" x14ac:dyDescent="0.25">
      <c r="A192" s="77" t="s">
        <v>1797</v>
      </c>
      <c r="B192" s="77" t="s">
        <v>1672</v>
      </c>
      <c r="C192" s="76" t="s">
        <v>1808</v>
      </c>
      <c r="D192" s="77"/>
      <c r="E192" s="77" t="s">
        <v>1672</v>
      </c>
      <c r="F192" s="77"/>
      <c r="G192" s="77"/>
      <c r="H192" s="77"/>
      <c r="I192" s="77"/>
      <c r="J192" s="74">
        <v>0</v>
      </c>
      <c r="K192" s="74">
        <v>0</v>
      </c>
      <c r="L192" s="74">
        <v>0</v>
      </c>
    </row>
    <row r="193" spans="1:15" hidden="1" x14ac:dyDescent="0.25">
      <c r="A193" s="76" t="s">
        <v>1798</v>
      </c>
      <c r="B193" s="77" t="s">
        <v>1756</v>
      </c>
      <c r="C193" s="76" t="s">
        <v>1809</v>
      </c>
      <c r="D193" s="77"/>
      <c r="E193" s="77"/>
      <c r="F193" s="77"/>
      <c r="G193" s="77"/>
      <c r="H193" s="77"/>
      <c r="I193" s="77"/>
      <c r="J193" s="74">
        <v>0</v>
      </c>
      <c r="K193" s="74">
        <v>0</v>
      </c>
      <c r="L193" s="74">
        <v>0</v>
      </c>
    </row>
    <row r="194" spans="1:15" x14ac:dyDescent="0.25">
      <c r="A194" s="76" t="s">
        <v>1799</v>
      </c>
      <c r="B194" s="172" t="s">
        <v>1875</v>
      </c>
      <c r="C194" s="76" t="s">
        <v>2069</v>
      </c>
      <c r="D194" s="77"/>
      <c r="E194" s="77"/>
      <c r="F194" s="77"/>
      <c r="G194" s="77"/>
      <c r="H194" s="77"/>
      <c r="I194" s="77"/>
      <c r="J194" s="74">
        <f>14000000-6000000</f>
        <v>8000000</v>
      </c>
      <c r="K194" s="105">
        <v>20453874</v>
      </c>
      <c r="L194" s="105">
        <v>20453874</v>
      </c>
      <c r="M194" s="83">
        <v>20141714</v>
      </c>
      <c r="N194" s="83">
        <v>0</v>
      </c>
      <c r="O194" s="83">
        <v>0</v>
      </c>
    </row>
    <row r="195" spans="1:15" x14ac:dyDescent="0.25">
      <c r="A195" s="76" t="s">
        <v>1307</v>
      </c>
      <c r="B195" s="77" t="s">
        <v>2098</v>
      </c>
      <c r="C195" s="50" t="s">
        <v>2048</v>
      </c>
      <c r="D195" s="77"/>
      <c r="E195" s="77"/>
      <c r="F195" s="77"/>
      <c r="G195" s="77"/>
      <c r="H195" s="77"/>
      <c r="I195" s="77"/>
      <c r="J195" s="74">
        <v>1000000</v>
      </c>
      <c r="K195" s="74">
        <v>1000000</v>
      </c>
      <c r="L195" s="186">
        <v>1000000</v>
      </c>
      <c r="M195" s="185">
        <v>1000000</v>
      </c>
      <c r="N195" s="83">
        <v>0</v>
      </c>
      <c r="O195" s="83">
        <v>0</v>
      </c>
    </row>
    <row r="196" spans="1:15" s="107" customFormat="1" hidden="1" x14ac:dyDescent="0.25">
      <c r="A196" s="50" t="s">
        <v>1919</v>
      </c>
      <c r="B196" s="52" t="s">
        <v>1849</v>
      </c>
      <c r="C196" s="50" t="s">
        <v>2227</v>
      </c>
      <c r="D196" s="52"/>
      <c r="E196" s="52"/>
      <c r="F196" s="52"/>
      <c r="G196" s="52"/>
      <c r="H196" s="52"/>
      <c r="I196" s="52"/>
      <c r="J196" s="105">
        <v>0</v>
      </c>
      <c r="K196" s="105">
        <v>0</v>
      </c>
      <c r="L196" s="105">
        <v>0</v>
      </c>
      <c r="M196" s="114"/>
      <c r="N196" s="114"/>
      <c r="O196" s="114"/>
    </row>
    <row r="197" spans="1:15" x14ac:dyDescent="0.25">
      <c r="A197" s="76" t="s">
        <v>1996</v>
      </c>
      <c r="B197" s="77" t="s">
        <v>1866</v>
      </c>
      <c r="C197" s="76" t="s">
        <v>2075</v>
      </c>
      <c r="D197" s="77"/>
      <c r="E197" s="77"/>
      <c r="F197" s="77"/>
      <c r="G197" s="77"/>
      <c r="H197" s="77"/>
      <c r="I197" s="77"/>
      <c r="J197" s="43">
        <v>4600000</v>
      </c>
      <c r="K197" s="74">
        <v>4600000</v>
      </c>
      <c r="L197" s="74">
        <v>4600000</v>
      </c>
      <c r="M197" s="83">
        <f>9000000-4500000</f>
        <v>4500000</v>
      </c>
      <c r="N197" s="83">
        <v>4500000</v>
      </c>
      <c r="O197" s="83">
        <v>0</v>
      </c>
    </row>
    <row r="198" spans="1:15" x14ac:dyDescent="0.25">
      <c r="A198" s="76" t="s">
        <v>1271</v>
      </c>
      <c r="B198" s="77" t="s">
        <v>1701</v>
      </c>
      <c r="C198" s="76" t="s">
        <v>2226</v>
      </c>
      <c r="D198" s="77"/>
      <c r="E198" s="77"/>
      <c r="F198" s="77"/>
      <c r="G198" s="77"/>
      <c r="H198" s="77"/>
      <c r="I198" s="77"/>
      <c r="J198" s="74">
        <v>2000000</v>
      </c>
      <c r="K198" s="74">
        <v>2000000</v>
      </c>
      <c r="L198" s="74">
        <v>2000000</v>
      </c>
      <c r="M198" s="83"/>
      <c r="N198" s="83"/>
      <c r="O198" s="83"/>
    </row>
    <row r="199" spans="1:15" x14ac:dyDescent="0.25">
      <c r="A199" s="76" t="s">
        <v>1275</v>
      </c>
      <c r="B199" s="77" t="s">
        <v>1276</v>
      </c>
      <c r="C199" s="76" t="s">
        <v>1277</v>
      </c>
      <c r="D199" s="77"/>
      <c r="E199" s="77"/>
      <c r="F199" s="77"/>
      <c r="G199" s="77"/>
      <c r="H199" s="77"/>
      <c r="I199" s="77"/>
      <c r="J199" s="74">
        <v>2000000</v>
      </c>
      <c r="K199" s="74">
        <v>2000000</v>
      </c>
      <c r="L199" s="74">
        <v>2000000</v>
      </c>
    </row>
    <row r="200" spans="1:15" x14ac:dyDescent="0.25">
      <c r="A200" s="76" t="s">
        <v>1278</v>
      </c>
      <c r="B200" s="77" t="s">
        <v>1867</v>
      </c>
      <c r="C200" s="76" t="s">
        <v>2190</v>
      </c>
      <c r="D200" s="77"/>
      <c r="E200" s="77"/>
      <c r="F200" s="77"/>
      <c r="G200" s="77"/>
      <c r="H200" s="77"/>
      <c r="I200" s="77"/>
      <c r="J200" s="74">
        <v>2000000</v>
      </c>
      <c r="K200" s="74">
        <v>0</v>
      </c>
      <c r="L200" s="74">
        <v>0</v>
      </c>
    </row>
    <row r="201" spans="1:15" x14ac:dyDescent="0.25">
      <c r="A201" s="76" t="s">
        <v>1916</v>
      </c>
      <c r="B201" s="77" t="s">
        <v>1868</v>
      </c>
      <c r="C201" s="76" t="s">
        <v>2070</v>
      </c>
      <c r="D201" s="77"/>
      <c r="E201" s="77"/>
      <c r="F201" s="77"/>
      <c r="G201" s="77"/>
      <c r="H201" s="77"/>
      <c r="I201" s="77"/>
      <c r="J201" s="43">
        <v>100000</v>
      </c>
      <c r="K201" s="74">
        <v>889034</v>
      </c>
      <c r="L201" s="74">
        <v>889034</v>
      </c>
      <c r="M201" s="83"/>
      <c r="N201" s="83"/>
      <c r="O201" s="83"/>
    </row>
    <row r="202" spans="1:15" x14ac:dyDescent="0.25">
      <c r="A202" s="76" t="s">
        <v>1917</v>
      </c>
      <c r="B202" s="77" t="s">
        <v>1869</v>
      </c>
      <c r="C202" s="76" t="s">
        <v>2071</v>
      </c>
      <c r="D202" s="77"/>
      <c r="E202" s="77"/>
      <c r="F202" s="77"/>
      <c r="G202" s="77"/>
      <c r="H202" s="77"/>
      <c r="I202" s="77"/>
      <c r="J202" s="43">
        <v>100000</v>
      </c>
      <c r="K202" s="74">
        <v>12860791</v>
      </c>
      <c r="L202" s="74">
        <v>12860791</v>
      </c>
      <c r="M202" s="83"/>
      <c r="N202" s="83"/>
      <c r="O202" s="83"/>
    </row>
    <row r="203" spans="1:15" x14ac:dyDescent="0.25">
      <c r="A203" s="76" t="s">
        <v>1918</v>
      </c>
      <c r="B203" s="77" t="s">
        <v>1870</v>
      </c>
      <c r="C203" s="76" t="s">
        <v>2072</v>
      </c>
      <c r="D203" s="77"/>
      <c r="E203" s="77"/>
      <c r="F203" s="77"/>
      <c r="G203" s="77"/>
      <c r="H203" s="77"/>
      <c r="I203" s="77"/>
      <c r="J203" s="43">
        <v>100000</v>
      </c>
      <c r="K203" s="74">
        <v>787000</v>
      </c>
      <c r="L203" s="74">
        <v>787000</v>
      </c>
      <c r="M203" s="83"/>
      <c r="N203" s="83"/>
      <c r="O203" s="83"/>
    </row>
    <row r="204" spans="1:15" x14ac:dyDescent="0.25">
      <c r="A204" s="76" t="s">
        <v>1997</v>
      </c>
      <c r="B204" s="77" t="s">
        <v>1871</v>
      </c>
      <c r="C204" s="76" t="s">
        <v>2073</v>
      </c>
      <c r="D204" s="77"/>
      <c r="E204" s="77"/>
      <c r="F204" s="77"/>
      <c r="G204" s="77"/>
      <c r="H204" s="77"/>
      <c r="I204" s="77"/>
      <c r="J204" s="43">
        <v>100000</v>
      </c>
      <c r="K204" s="74">
        <v>413000</v>
      </c>
      <c r="L204" s="74">
        <v>413000</v>
      </c>
      <c r="M204" s="83"/>
      <c r="N204" s="83"/>
      <c r="O204" s="83"/>
    </row>
    <row r="205" spans="1:15" x14ac:dyDescent="0.25">
      <c r="A205" s="76" t="s">
        <v>1999</v>
      </c>
      <c r="B205" s="77" t="s">
        <v>1885</v>
      </c>
      <c r="C205" s="76" t="s">
        <v>2074</v>
      </c>
      <c r="D205" s="77"/>
      <c r="E205" s="77"/>
      <c r="F205" s="77"/>
      <c r="G205" s="77"/>
      <c r="H205" s="77"/>
      <c r="I205" s="77"/>
      <c r="J205" s="74">
        <v>500000</v>
      </c>
      <c r="K205" s="74">
        <v>500000</v>
      </c>
      <c r="L205" s="74">
        <v>500000</v>
      </c>
      <c r="M205" s="83">
        <f>3000000-1500000</f>
        <v>1500000</v>
      </c>
      <c r="N205" s="83">
        <v>8000000</v>
      </c>
      <c r="O205" s="83">
        <v>0</v>
      </c>
    </row>
    <row r="206" spans="1:15" s="134" customFormat="1" x14ac:dyDescent="0.25">
      <c r="A206" s="132" t="s">
        <v>2191</v>
      </c>
      <c r="B206" s="133" t="s">
        <v>2172</v>
      </c>
      <c r="C206" s="132" t="s">
        <v>2192</v>
      </c>
      <c r="D206" s="133"/>
      <c r="E206" s="133"/>
      <c r="F206" s="133"/>
      <c r="G206" s="133"/>
      <c r="H206" s="133"/>
      <c r="I206" s="133"/>
      <c r="J206" s="74">
        <v>550000</v>
      </c>
      <c r="K206" s="74">
        <v>550000</v>
      </c>
      <c r="L206" s="74">
        <v>550000</v>
      </c>
      <c r="M206" s="83">
        <f>3000000-1500000</f>
        <v>1500000</v>
      </c>
      <c r="N206" s="83">
        <v>5000000</v>
      </c>
      <c r="O206" s="83">
        <v>0</v>
      </c>
    </row>
    <row r="207" spans="1:15" s="134" customFormat="1" x14ac:dyDescent="0.25">
      <c r="A207" s="159" t="s">
        <v>2138</v>
      </c>
      <c r="B207" s="31" t="s">
        <v>2137</v>
      </c>
      <c r="C207" s="164" t="s">
        <v>2210</v>
      </c>
      <c r="D207" s="133"/>
      <c r="E207" s="133"/>
      <c r="F207" s="133"/>
      <c r="G207" s="133"/>
      <c r="H207" s="133"/>
      <c r="I207" s="133"/>
      <c r="J207" s="74">
        <v>0</v>
      </c>
      <c r="K207" s="74">
        <v>1600000</v>
      </c>
      <c r="L207" s="74">
        <v>1600000</v>
      </c>
      <c r="M207" s="83">
        <v>0</v>
      </c>
      <c r="N207" s="83">
        <v>0</v>
      </c>
      <c r="O207" s="83">
        <v>0</v>
      </c>
    </row>
    <row r="208" spans="1:15" s="134" customFormat="1" x14ac:dyDescent="0.25">
      <c r="A208" s="159" t="s">
        <v>2209</v>
      </c>
      <c r="B208" s="31" t="s">
        <v>2194</v>
      </c>
      <c r="C208" s="160" t="s">
        <v>2211</v>
      </c>
      <c r="D208" s="133"/>
      <c r="E208" s="133"/>
      <c r="F208" s="133"/>
      <c r="G208" s="133"/>
      <c r="H208" s="133"/>
      <c r="I208" s="133"/>
      <c r="J208" s="74">
        <v>0</v>
      </c>
      <c r="K208" s="74">
        <v>500000</v>
      </c>
      <c r="L208" s="74">
        <v>500000</v>
      </c>
      <c r="M208" s="83">
        <v>1500000</v>
      </c>
      <c r="N208" s="83">
        <v>0</v>
      </c>
      <c r="O208" s="83">
        <v>0</v>
      </c>
    </row>
    <row r="209" spans="1:15" s="134" customFormat="1" x14ac:dyDescent="0.25">
      <c r="A209" s="71" t="s">
        <v>2140</v>
      </c>
      <c r="B209" s="169" t="s">
        <v>2238</v>
      </c>
      <c r="C209" s="71" t="s">
        <v>2313</v>
      </c>
      <c r="D209" s="172"/>
      <c r="E209" s="172"/>
      <c r="F209" s="172"/>
      <c r="G209" s="172"/>
      <c r="H209" s="172"/>
      <c r="I209" s="172"/>
      <c r="J209" s="74">
        <v>0</v>
      </c>
      <c r="K209" s="74">
        <v>0</v>
      </c>
      <c r="L209" s="74">
        <v>0</v>
      </c>
      <c r="M209" s="83">
        <v>1000000</v>
      </c>
      <c r="N209" s="83">
        <v>0</v>
      </c>
      <c r="O209" s="83">
        <v>0</v>
      </c>
    </row>
    <row r="210" spans="1:15" s="134" customFormat="1" x14ac:dyDescent="0.25">
      <c r="A210" s="71" t="s">
        <v>2309</v>
      </c>
      <c r="B210" s="169" t="s">
        <v>2239</v>
      </c>
      <c r="C210" s="160" t="s">
        <v>2314</v>
      </c>
      <c r="D210" s="172"/>
      <c r="E210" s="172"/>
      <c r="F210" s="172"/>
      <c r="G210" s="172"/>
      <c r="H210" s="172"/>
      <c r="I210" s="172"/>
      <c r="J210" s="74">
        <v>0</v>
      </c>
      <c r="K210" s="74">
        <v>0</v>
      </c>
      <c r="L210" s="74">
        <v>0</v>
      </c>
      <c r="M210" s="83">
        <v>1000000</v>
      </c>
      <c r="N210" s="83">
        <v>0</v>
      </c>
      <c r="O210" s="83">
        <v>0</v>
      </c>
    </row>
    <row r="211" spans="1:15" s="134" customFormat="1" x14ac:dyDescent="0.25">
      <c r="A211" s="71" t="s">
        <v>2311</v>
      </c>
      <c r="B211" s="169" t="s">
        <v>2240</v>
      </c>
      <c r="C211" s="160" t="s">
        <v>2315</v>
      </c>
      <c r="D211" s="172"/>
      <c r="E211" s="172"/>
      <c r="F211" s="172"/>
      <c r="G211" s="172"/>
      <c r="H211" s="172"/>
      <c r="I211" s="172"/>
      <c r="J211" s="74">
        <v>0</v>
      </c>
      <c r="K211" s="74">
        <v>0</v>
      </c>
      <c r="L211" s="74">
        <v>0</v>
      </c>
      <c r="M211" s="83">
        <v>1000000</v>
      </c>
      <c r="N211" s="83">
        <v>0</v>
      </c>
      <c r="O211" s="83">
        <v>0</v>
      </c>
    </row>
    <row r="212" spans="1:15" s="134" customFormat="1" x14ac:dyDescent="0.25">
      <c r="A212" s="71" t="s">
        <v>2143</v>
      </c>
      <c r="B212" s="169" t="s">
        <v>2241</v>
      </c>
      <c r="C212" s="160" t="s">
        <v>2316</v>
      </c>
      <c r="D212" s="172"/>
      <c r="E212" s="172"/>
      <c r="F212" s="172"/>
      <c r="G212" s="172"/>
      <c r="H212" s="172"/>
      <c r="I212" s="172"/>
      <c r="J212" s="74">
        <v>0</v>
      </c>
      <c r="K212" s="74">
        <v>0</v>
      </c>
      <c r="L212" s="74">
        <v>0</v>
      </c>
      <c r="M212" s="83">
        <v>1000000</v>
      </c>
      <c r="N212" s="83">
        <v>0</v>
      </c>
      <c r="O212" s="83">
        <v>0</v>
      </c>
    </row>
    <row r="213" spans="1:15" s="134" customFormat="1" x14ac:dyDescent="0.25">
      <c r="A213" s="71" t="s">
        <v>2317</v>
      </c>
      <c r="B213" s="52" t="s">
        <v>2242</v>
      </c>
      <c r="C213" s="71" t="s">
        <v>2318</v>
      </c>
      <c r="D213" s="172"/>
      <c r="E213" s="172"/>
      <c r="F213" s="172"/>
      <c r="G213" s="172"/>
      <c r="H213" s="172"/>
      <c r="I213" s="172"/>
      <c r="J213" s="74">
        <v>0</v>
      </c>
      <c r="K213" s="74">
        <v>0</v>
      </c>
      <c r="L213" s="74">
        <v>0</v>
      </c>
      <c r="M213" s="83">
        <v>500000</v>
      </c>
      <c r="N213" s="83">
        <v>800000</v>
      </c>
      <c r="O213" s="83">
        <v>800000</v>
      </c>
    </row>
    <row r="214" spans="1:15" s="134" customFormat="1" x14ac:dyDescent="0.25">
      <c r="A214" s="71" t="s">
        <v>2319</v>
      </c>
      <c r="B214" s="52" t="s">
        <v>2243</v>
      </c>
      <c r="C214" s="71" t="s">
        <v>2320</v>
      </c>
      <c r="D214" s="172"/>
      <c r="E214" s="172"/>
      <c r="F214" s="172"/>
      <c r="G214" s="172"/>
      <c r="H214" s="172"/>
      <c r="I214" s="172"/>
      <c r="J214" s="74">
        <v>0</v>
      </c>
      <c r="K214" s="74">
        <v>0</v>
      </c>
      <c r="L214" s="74">
        <v>0</v>
      </c>
      <c r="M214" s="83">
        <v>500000</v>
      </c>
      <c r="N214" s="83">
        <v>800000</v>
      </c>
      <c r="O214" s="83">
        <v>800000</v>
      </c>
    </row>
    <row r="215" spans="1:15" s="134" customFormat="1" x14ac:dyDescent="0.25">
      <c r="A215" s="71" t="s">
        <v>2321</v>
      </c>
      <c r="B215" s="169" t="s">
        <v>2322</v>
      </c>
      <c r="C215" s="71" t="s">
        <v>2323</v>
      </c>
      <c r="D215" s="172"/>
      <c r="E215" s="172"/>
      <c r="F215" s="172"/>
      <c r="G215" s="172"/>
      <c r="H215" s="172"/>
      <c r="I215" s="172"/>
      <c r="J215" s="74">
        <v>0</v>
      </c>
      <c r="K215" s="74">
        <v>0</v>
      </c>
      <c r="L215" s="74">
        <v>0</v>
      </c>
      <c r="M215" s="83">
        <v>500000</v>
      </c>
      <c r="N215" s="83">
        <v>200000</v>
      </c>
      <c r="O215" s="83">
        <v>200000</v>
      </c>
    </row>
    <row r="216" spans="1:15" s="134" customFormat="1" x14ac:dyDescent="0.25">
      <c r="A216" s="71" t="s">
        <v>2324</v>
      </c>
      <c r="B216" s="52" t="s">
        <v>2325</v>
      </c>
      <c r="C216" s="71" t="s">
        <v>2326</v>
      </c>
      <c r="D216" s="172"/>
      <c r="E216" s="172"/>
      <c r="F216" s="172"/>
      <c r="G216" s="172"/>
      <c r="H216" s="172"/>
      <c r="I216" s="172"/>
      <c r="J216" s="74">
        <v>0</v>
      </c>
      <c r="K216" s="74">
        <v>0</v>
      </c>
      <c r="L216" s="74">
        <v>0</v>
      </c>
      <c r="M216" s="83">
        <v>600000</v>
      </c>
      <c r="N216" s="83">
        <v>200000</v>
      </c>
      <c r="O216" s="83">
        <v>200000</v>
      </c>
    </row>
    <row r="217" spans="1:15" s="134" customFormat="1" x14ac:dyDescent="0.25">
      <c r="A217" s="71" t="s">
        <v>2327</v>
      </c>
      <c r="B217" s="52" t="s">
        <v>2328</v>
      </c>
      <c r="C217" s="71" t="s">
        <v>2329</v>
      </c>
      <c r="D217" s="172"/>
      <c r="E217" s="172"/>
      <c r="F217" s="172"/>
      <c r="G217" s="172"/>
      <c r="H217" s="172"/>
      <c r="I217" s="172"/>
      <c r="J217" s="74">
        <v>0</v>
      </c>
      <c r="K217" s="74">
        <v>0</v>
      </c>
      <c r="L217" s="74">
        <v>0</v>
      </c>
      <c r="M217" s="83">
        <v>500000</v>
      </c>
      <c r="N217" s="83">
        <v>200000</v>
      </c>
      <c r="O217" s="83">
        <v>200000</v>
      </c>
    </row>
    <row r="218" spans="1:15" s="134" customFormat="1" x14ac:dyDescent="0.25">
      <c r="A218" s="71" t="s">
        <v>2330</v>
      </c>
      <c r="B218" s="52" t="s">
        <v>2244</v>
      </c>
      <c r="C218" s="71" t="s">
        <v>2331</v>
      </c>
      <c r="D218" s="172"/>
      <c r="E218" s="172"/>
      <c r="F218" s="172"/>
      <c r="G218" s="172"/>
      <c r="H218" s="172"/>
      <c r="I218" s="172"/>
      <c r="J218" s="74">
        <v>0</v>
      </c>
      <c r="K218" s="74">
        <v>0</v>
      </c>
      <c r="L218" s="74">
        <v>0</v>
      </c>
      <c r="M218" s="83">
        <v>500000</v>
      </c>
      <c r="N218" s="83">
        <v>10000000</v>
      </c>
      <c r="O218" s="83">
        <v>30000000</v>
      </c>
    </row>
    <row r="219" spans="1:15" s="134" customFormat="1" x14ac:dyDescent="0.25">
      <c r="A219" s="71" t="s">
        <v>2332</v>
      </c>
      <c r="B219" s="52" t="s">
        <v>2245</v>
      </c>
      <c r="C219" s="71" t="s">
        <v>2333</v>
      </c>
      <c r="D219" s="172"/>
      <c r="E219" s="172"/>
      <c r="F219" s="172"/>
      <c r="G219" s="172"/>
      <c r="H219" s="172"/>
      <c r="I219" s="172"/>
      <c r="J219" s="74">
        <v>0</v>
      </c>
      <c r="K219" s="74">
        <v>0</v>
      </c>
      <c r="L219" s="74">
        <v>0</v>
      </c>
      <c r="M219" s="83">
        <v>500000</v>
      </c>
      <c r="N219" s="83">
        <v>2500000</v>
      </c>
      <c r="O219" s="83">
        <v>0</v>
      </c>
    </row>
    <row r="220" spans="1:15" s="134" customFormat="1" x14ac:dyDescent="0.25">
      <c r="A220" s="71"/>
      <c r="B220" s="52" t="s">
        <v>2341</v>
      </c>
      <c r="C220" s="71"/>
      <c r="D220" s="172"/>
      <c r="E220" s="172"/>
      <c r="F220" s="172"/>
      <c r="G220" s="172"/>
      <c r="H220" s="172"/>
      <c r="I220" s="172"/>
      <c r="J220" s="74">
        <v>0</v>
      </c>
      <c r="K220" s="74">
        <v>0</v>
      </c>
      <c r="L220" s="74">
        <v>0</v>
      </c>
      <c r="M220" s="185">
        <v>500000</v>
      </c>
      <c r="N220" s="83"/>
      <c r="O220" s="83"/>
    </row>
    <row r="221" spans="1:15" s="134" customFormat="1" x14ac:dyDescent="0.25">
      <c r="A221" s="159"/>
      <c r="B221" s="52"/>
      <c r="C221" s="159"/>
      <c r="D221" s="172"/>
      <c r="E221" s="172"/>
      <c r="F221" s="172"/>
      <c r="G221" s="172"/>
      <c r="H221" s="172"/>
      <c r="I221" s="172"/>
      <c r="J221" s="74"/>
      <c r="K221" s="74"/>
      <c r="L221" s="74"/>
      <c r="M221" s="83"/>
      <c r="N221" s="83"/>
      <c r="O221" s="83"/>
    </row>
    <row r="222" spans="1:15" hidden="1" x14ac:dyDescent="0.25">
      <c r="A222" s="76"/>
      <c r="B222" s="77"/>
      <c r="C222" s="76"/>
      <c r="D222" s="77"/>
      <c r="E222" s="77"/>
      <c r="F222" s="77"/>
      <c r="G222" s="77"/>
      <c r="H222" s="77"/>
      <c r="I222" s="77"/>
    </row>
    <row r="223" spans="1:15" x14ac:dyDescent="0.25">
      <c r="A223" s="82"/>
      <c r="B223" s="76"/>
      <c r="C223" s="77"/>
      <c r="D223" s="77"/>
      <c r="E223" s="77"/>
      <c r="F223" s="77"/>
      <c r="G223" s="77"/>
      <c r="H223" s="77"/>
      <c r="I223" s="77"/>
      <c r="J223" s="86">
        <f>SUM(J126:J220)</f>
        <v>45634923.880000003</v>
      </c>
      <c r="K223" s="86">
        <f>SUM(K126:K220)</f>
        <v>73872272</v>
      </c>
      <c r="L223" s="86">
        <f>SUM(L126:L220)</f>
        <v>73872272</v>
      </c>
      <c r="M223" s="86">
        <f>SUM(M126:M220)</f>
        <v>77685254.590000004</v>
      </c>
      <c r="N223" s="86">
        <f>SUM(N126:N219)</f>
        <v>83300000</v>
      </c>
      <c r="O223" s="86">
        <f>SUM(O126:O219)</f>
        <v>51800000</v>
      </c>
    </row>
    <row r="224" spans="1:15" x14ac:dyDescent="0.25">
      <c r="A224" s="82"/>
      <c r="B224" s="76"/>
      <c r="C224" s="77"/>
      <c r="D224" s="77"/>
      <c r="E224" s="77"/>
      <c r="F224" s="77"/>
      <c r="G224" s="77"/>
      <c r="H224" s="77"/>
      <c r="I224" s="77"/>
    </row>
    <row r="225" spans="1:15" x14ac:dyDescent="0.25">
      <c r="A225" s="82"/>
      <c r="B225" s="76"/>
      <c r="C225" s="77"/>
      <c r="D225" s="77"/>
      <c r="E225" s="77"/>
      <c r="F225" s="77"/>
      <c r="G225" s="77"/>
      <c r="H225" s="77"/>
      <c r="I225" s="77"/>
      <c r="J225" s="86">
        <f t="shared" ref="J225:O225" si="3">J97+J124+J223</f>
        <v>135254206.97999999</v>
      </c>
      <c r="K225" s="86">
        <f t="shared" si="3"/>
        <v>168662022</v>
      </c>
      <c r="L225" s="86">
        <f t="shared" si="3"/>
        <v>168662022</v>
      </c>
      <c r="M225" s="86">
        <f t="shared" si="3"/>
        <v>176006228.40000001</v>
      </c>
      <c r="N225" s="86">
        <f t="shared" si="3"/>
        <v>181650116.66</v>
      </c>
      <c r="O225" s="86">
        <f t="shared" si="3"/>
        <v>161102161.91</v>
      </c>
    </row>
    <row r="226" spans="1:15" ht="14.25" customHeight="1" x14ac:dyDescent="0.25">
      <c r="A226" s="82"/>
      <c r="B226" s="76"/>
      <c r="C226" s="77"/>
      <c r="D226" s="77"/>
      <c r="E226" s="77"/>
      <c r="F226" s="77"/>
      <c r="G226" s="77"/>
      <c r="H226" s="77"/>
      <c r="I226" s="77"/>
    </row>
  </sheetData>
  <autoFilter ref="A1:K299" xr:uid="{00000000-0009-0000-0000-000003000000}"/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2:T502"/>
  <sheetViews>
    <sheetView topLeftCell="C161" workbookViewId="0">
      <selection activeCell="Q182" sqref="Q182"/>
    </sheetView>
  </sheetViews>
  <sheetFormatPr defaultRowHeight="15" x14ac:dyDescent="0.25"/>
  <cols>
    <col min="8" max="8" width="27.875" customWidth="1"/>
    <col min="9" max="14" width="0" hidden="1" customWidth="1"/>
    <col min="15" max="15" width="18.375" customWidth="1"/>
    <col min="16" max="16" width="13.25" customWidth="1"/>
    <col min="17" max="17" width="17.75" customWidth="1"/>
    <col min="19" max="19" width="11.125" bestFit="1" customWidth="1"/>
    <col min="20" max="20" width="10.125" bestFit="1" customWidth="1"/>
  </cols>
  <sheetData>
    <row r="2" spans="1:17" x14ac:dyDescent="0.25">
      <c r="A2" s="3" t="s">
        <v>1072</v>
      </c>
      <c r="B2" s="3" t="s">
        <v>11</v>
      </c>
      <c r="C2" s="3" t="s">
        <v>12</v>
      </c>
      <c r="D2" s="3" t="s">
        <v>157</v>
      </c>
      <c r="E2" s="3" t="s">
        <v>726</v>
      </c>
      <c r="F2" s="3" t="s">
        <v>15</v>
      </c>
      <c r="G2" s="3" t="s">
        <v>16</v>
      </c>
      <c r="H2" s="3" t="s">
        <v>727</v>
      </c>
      <c r="I2" s="4" t="s">
        <v>18</v>
      </c>
      <c r="J2" s="4">
        <v>3</v>
      </c>
      <c r="K2" s="4"/>
      <c r="L2" s="12">
        <v>1954695</v>
      </c>
      <c r="M2" s="13">
        <v>1946214</v>
      </c>
      <c r="N2" s="9">
        <v>1946214</v>
      </c>
      <c r="O2" s="43">
        <f>'[6]6707ELEC'!$E$13</f>
        <v>2095458.6841740001</v>
      </c>
      <c r="P2" s="39">
        <v>413024.8</v>
      </c>
      <c r="Q2" s="58">
        <f>'[7]6115REV'!$E$13</f>
        <v>0</v>
      </c>
    </row>
    <row r="3" spans="1:17" x14ac:dyDescent="0.25">
      <c r="A3" s="3" t="s">
        <v>1069</v>
      </c>
      <c r="B3" s="3" t="s">
        <v>11</v>
      </c>
      <c r="C3" s="3" t="s">
        <v>12</v>
      </c>
      <c r="D3" s="3" t="s">
        <v>86</v>
      </c>
      <c r="E3" s="3" t="s">
        <v>726</v>
      </c>
      <c r="F3" s="3" t="s">
        <v>37</v>
      </c>
      <c r="G3" s="3" t="s">
        <v>16</v>
      </c>
      <c r="H3" s="3" t="s">
        <v>727</v>
      </c>
      <c r="I3" s="4" t="s">
        <v>38</v>
      </c>
      <c r="J3" s="4">
        <v>1</v>
      </c>
      <c r="K3" s="4"/>
      <c r="L3" s="12">
        <v>0</v>
      </c>
      <c r="M3" s="13">
        <v>0</v>
      </c>
      <c r="N3" s="9">
        <v>0</v>
      </c>
      <c r="O3" s="43"/>
      <c r="P3" s="39">
        <v>0</v>
      </c>
      <c r="Q3" s="44">
        <v>0</v>
      </c>
    </row>
    <row r="4" spans="1:17" x14ac:dyDescent="0.25">
      <c r="A4" s="3" t="s">
        <v>1068</v>
      </c>
      <c r="B4" s="3" t="s">
        <v>11</v>
      </c>
      <c r="C4" s="3" t="s">
        <v>12</v>
      </c>
      <c r="D4" s="3" t="s">
        <v>1630</v>
      </c>
      <c r="E4" s="3" t="s">
        <v>726</v>
      </c>
      <c r="F4" s="3" t="s">
        <v>15</v>
      </c>
      <c r="G4" s="3" t="s">
        <v>16</v>
      </c>
      <c r="H4" s="3" t="s">
        <v>727</v>
      </c>
      <c r="I4" s="4" t="s">
        <v>18</v>
      </c>
      <c r="J4" s="4">
        <v>3</v>
      </c>
      <c r="K4" s="4"/>
      <c r="L4" s="12">
        <v>160000</v>
      </c>
      <c r="M4" s="13">
        <v>260000</v>
      </c>
      <c r="N4" s="9">
        <v>260000</v>
      </c>
      <c r="O4" s="43">
        <v>100000</v>
      </c>
      <c r="P4" s="39">
        <v>73203.67</v>
      </c>
      <c r="Q4" s="44">
        <v>100000</v>
      </c>
    </row>
    <row r="5" spans="1:17" x14ac:dyDescent="0.25">
      <c r="A5" s="3" t="s">
        <v>1070</v>
      </c>
      <c r="B5" s="3" t="s">
        <v>11</v>
      </c>
      <c r="C5" s="3" t="s">
        <v>12</v>
      </c>
      <c r="D5" s="3" t="s">
        <v>153</v>
      </c>
      <c r="E5" s="3" t="s">
        <v>726</v>
      </c>
      <c r="F5" s="3" t="s">
        <v>15</v>
      </c>
      <c r="G5" s="3" t="s">
        <v>16</v>
      </c>
      <c r="H5" s="3" t="s">
        <v>727</v>
      </c>
      <c r="I5" s="4" t="s">
        <v>18</v>
      </c>
      <c r="J5" s="4">
        <v>3</v>
      </c>
      <c r="K5" s="4"/>
      <c r="L5" s="12">
        <v>162891</v>
      </c>
      <c r="M5" s="13">
        <v>163225</v>
      </c>
      <c r="N5" s="9">
        <v>163225</v>
      </c>
      <c r="O5" s="43">
        <f>'[6]6707ELEC'!$I$13</f>
        <v>174621.55701449999</v>
      </c>
      <c r="P5" s="39">
        <v>12030.91</v>
      </c>
      <c r="Q5" s="44">
        <f>'[7]6115REV'!$I$13</f>
        <v>0</v>
      </c>
    </row>
    <row r="6" spans="1:17" x14ac:dyDescent="0.25">
      <c r="A6" s="3" t="s">
        <v>1086</v>
      </c>
      <c r="B6" s="3" t="s">
        <v>11</v>
      </c>
      <c r="C6" s="3" t="s">
        <v>12</v>
      </c>
      <c r="D6" s="3" t="s">
        <v>155</v>
      </c>
      <c r="E6" s="3" t="s">
        <v>726</v>
      </c>
      <c r="F6" s="3" t="s">
        <v>15</v>
      </c>
      <c r="G6" s="3" t="s">
        <v>16</v>
      </c>
      <c r="H6" s="3" t="s">
        <v>727</v>
      </c>
      <c r="I6" s="4" t="s">
        <v>18</v>
      </c>
      <c r="J6" s="4">
        <v>3</v>
      </c>
      <c r="K6" s="4"/>
      <c r="L6" s="12">
        <v>118547</v>
      </c>
      <c r="M6" s="13">
        <v>126695</v>
      </c>
      <c r="N6" s="9">
        <v>126695</v>
      </c>
      <c r="O6" s="43">
        <f>'[8]6707ELEC'!$J$13</f>
        <v>0</v>
      </c>
      <c r="P6" s="39">
        <v>0</v>
      </c>
      <c r="Q6" s="44">
        <v>0</v>
      </c>
    </row>
    <row r="7" spans="1:17" x14ac:dyDescent="0.25">
      <c r="A7" s="3" t="s">
        <v>1067</v>
      </c>
      <c r="B7" s="3" t="s">
        <v>11</v>
      </c>
      <c r="C7" s="3" t="s">
        <v>12</v>
      </c>
      <c r="D7" s="3" t="s">
        <v>41</v>
      </c>
      <c r="E7" s="3" t="s">
        <v>726</v>
      </c>
      <c r="F7" s="3" t="s">
        <v>15</v>
      </c>
      <c r="G7" s="3" t="s">
        <v>16</v>
      </c>
      <c r="H7" s="3" t="s">
        <v>727</v>
      </c>
      <c r="I7" s="4" t="s">
        <v>18</v>
      </c>
      <c r="J7" s="4">
        <v>3</v>
      </c>
      <c r="K7" s="4"/>
      <c r="L7" s="12">
        <v>430033</v>
      </c>
      <c r="M7" s="13">
        <v>415799</v>
      </c>
      <c r="N7" s="9">
        <v>415799</v>
      </c>
      <c r="O7" s="43">
        <f>'[6]6707ELEC'!$K$13</f>
        <v>461000.91051828006</v>
      </c>
      <c r="P7" s="39">
        <v>84144.78</v>
      </c>
      <c r="Q7" s="58">
        <f>'[7]6115REV'!$K$13</f>
        <v>0</v>
      </c>
    </row>
    <row r="8" spans="1:17" x14ac:dyDescent="0.25">
      <c r="A8" s="3" t="s">
        <v>1066</v>
      </c>
      <c r="B8" s="3" t="s">
        <v>11</v>
      </c>
      <c r="C8" s="3" t="s">
        <v>12</v>
      </c>
      <c r="D8" s="3" t="s">
        <v>36</v>
      </c>
      <c r="E8" s="3" t="s">
        <v>726</v>
      </c>
      <c r="F8" s="3" t="s">
        <v>37</v>
      </c>
      <c r="G8" s="3" t="s">
        <v>16</v>
      </c>
      <c r="H8" s="3" t="s">
        <v>727</v>
      </c>
      <c r="I8" s="4" t="s">
        <v>38</v>
      </c>
      <c r="J8" s="4">
        <v>1</v>
      </c>
      <c r="K8" s="4"/>
      <c r="L8" s="12">
        <v>0</v>
      </c>
      <c r="M8" s="13">
        <v>39765</v>
      </c>
      <c r="N8" s="9">
        <v>39765</v>
      </c>
      <c r="O8" s="43">
        <f>'[8]6707ELEC'!$L$13</f>
        <v>79529.040000000008</v>
      </c>
      <c r="P8" s="39">
        <v>19882.8</v>
      </c>
      <c r="Q8" s="44">
        <f>'[7]6115REV'!$L$13</f>
        <v>0</v>
      </c>
    </row>
    <row r="9" spans="1:17" x14ac:dyDescent="0.25">
      <c r="A9" s="3" t="s">
        <v>1071</v>
      </c>
      <c r="B9" s="3" t="s">
        <v>11</v>
      </c>
      <c r="C9" s="3" t="s">
        <v>12</v>
      </c>
      <c r="D9" s="3" t="s">
        <v>47</v>
      </c>
      <c r="E9" s="3" t="s">
        <v>726</v>
      </c>
      <c r="F9" s="3" t="s">
        <v>15</v>
      </c>
      <c r="G9" s="3" t="s">
        <v>16</v>
      </c>
      <c r="H9" s="3" t="s">
        <v>727</v>
      </c>
      <c r="I9" s="4" t="s">
        <v>18</v>
      </c>
      <c r="J9" s="4">
        <v>3</v>
      </c>
      <c r="K9" s="4"/>
      <c r="L9" s="12">
        <v>298901</v>
      </c>
      <c r="M9" s="13">
        <v>296447</v>
      </c>
      <c r="N9" s="9">
        <v>296447</v>
      </c>
      <c r="O9" s="43">
        <f>'[8]6707ELEC'!$M$13</f>
        <v>167211.80000000002</v>
      </c>
      <c r="P9" s="39">
        <v>79818.45</v>
      </c>
      <c r="Q9" s="44">
        <f>'[7]6115REV'!$M$13</f>
        <v>0</v>
      </c>
    </row>
    <row r="10" spans="1:17" x14ac:dyDescent="0.25">
      <c r="A10" s="3" t="s">
        <v>1087</v>
      </c>
      <c r="B10" s="3" t="s">
        <v>11</v>
      </c>
      <c r="C10" s="3" t="s">
        <v>12</v>
      </c>
      <c r="D10" s="3" t="s">
        <v>45</v>
      </c>
      <c r="E10" s="3" t="s">
        <v>726</v>
      </c>
      <c r="F10" s="3" t="s">
        <v>37</v>
      </c>
      <c r="G10" s="3" t="s">
        <v>16</v>
      </c>
      <c r="H10" s="3" t="s">
        <v>727</v>
      </c>
      <c r="I10" s="4" t="s">
        <v>38</v>
      </c>
      <c r="J10" s="4">
        <v>3</v>
      </c>
      <c r="K10" s="4"/>
      <c r="L10" s="12">
        <v>6400</v>
      </c>
      <c r="M10" s="13">
        <v>7000</v>
      </c>
      <c r="N10" s="9">
        <v>7000</v>
      </c>
      <c r="O10" s="43">
        <f>'[8]6707ELEC'!$N$13</f>
        <v>9600</v>
      </c>
      <c r="P10" s="39">
        <v>2556</v>
      </c>
      <c r="Q10" s="44">
        <f>'[7]6115REV'!$N$13</f>
        <v>0</v>
      </c>
    </row>
    <row r="11" spans="1:17" x14ac:dyDescent="0.25">
      <c r="A11" s="3" t="s">
        <v>1065</v>
      </c>
      <c r="B11" s="3" t="s">
        <v>11</v>
      </c>
      <c r="C11" s="3" t="s">
        <v>12</v>
      </c>
      <c r="D11" s="3" t="s">
        <v>151</v>
      </c>
      <c r="E11" s="3" t="s">
        <v>726</v>
      </c>
      <c r="F11" s="3" t="s">
        <v>15</v>
      </c>
      <c r="G11" s="3" t="s">
        <v>16</v>
      </c>
      <c r="H11" s="3" t="s">
        <v>727</v>
      </c>
      <c r="I11" s="4" t="s">
        <v>18</v>
      </c>
      <c r="J11" s="4">
        <v>3</v>
      </c>
      <c r="K11" s="4"/>
      <c r="L11" s="12">
        <v>891</v>
      </c>
      <c r="M11" s="13">
        <v>941</v>
      </c>
      <c r="N11" s="9">
        <v>941</v>
      </c>
      <c r="O11" s="43">
        <f>'[6]6707ELEC'!$R$13</f>
        <v>945</v>
      </c>
      <c r="P11" s="39">
        <v>195.72</v>
      </c>
      <c r="Q11" s="58">
        <f>'[7]6115REV'!$R$13</f>
        <v>0</v>
      </c>
    </row>
    <row r="12" spans="1:17" x14ac:dyDescent="0.25">
      <c r="A12" s="3" t="s">
        <v>1064</v>
      </c>
      <c r="B12" s="3" t="s">
        <v>11</v>
      </c>
      <c r="C12" s="3" t="s">
        <v>12</v>
      </c>
      <c r="D12" s="3" t="s">
        <v>30</v>
      </c>
      <c r="E12" s="3" t="s">
        <v>726</v>
      </c>
      <c r="F12" s="3" t="s">
        <v>15</v>
      </c>
      <c r="G12" s="3" t="s">
        <v>16</v>
      </c>
      <c r="H12" s="3" t="s">
        <v>727</v>
      </c>
      <c r="I12" s="4" t="s">
        <v>18</v>
      </c>
      <c r="J12" s="4">
        <v>3</v>
      </c>
      <c r="K12" s="4"/>
      <c r="L12" s="12">
        <v>19547</v>
      </c>
      <c r="M12" s="13">
        <v>22308</v>
      </c>
      <c r="N12" s="9">
        <v>22308</v>
      </c>
      <c r="O12" s="43">
        <f>'[6]6707ELEC'!$Q$13</f>
        <v>20954.586841739998</v>
      </c>
      <c r="P12" s="39">
        <v>5537.72</v>
      </c>
      <c r="Q12" s="58">
        <f>'[7]6115REV'!$Q$13</f>
        <v>0</v>
      </c>
    </row>
    <row r="13" spans="1:17" x14ac:dyDescent="0.25">
      <c r="A13" s="3" t="s">
        <v>1063</v>
      </c>
      <c r="B13" s="3" t="s">
        <v>11</v>
      </c>
      <c r="C13" s="3" t="s">
        <v>12</v>
      </c>
      <c r="D13" s="3" t="s">
        <v>43</v>
      </c>
      <c r="E13" s="3" t="s">
        <v>726</v>
      </c>
      <c r="F13" s="3" t="s">
        <v>15</v>
      </c>
      <c r="G13" s="3" t="s">
        <v>16</v>
      </c>
      <c r="H13" s="3" t="s">
        <v>727</v>
      </c>
      <c r="I13" s="4" t="s">
        <v>18</v>
      </c>
      <c r="J13" s="4">
        <v>3</v>
      </c>
      <c r="K13" s="4"/>
      <c r="L13" s="12">
        <v>12723</v>
      </c>
      <c r="M13" s="13">
        <v>16733</v>
      </c>
      <c r="N13" s="9">
        <v>16733</v>
      </c>
      <c r="O13" s="43">
        <f>'[6]6707ELEC'!$T$13</f>
        <v>13207.986570000001</v>
      </c>
      <c r="P13" s="39">
        <v>3123.12</v>
      </c>
      <c r="Q13" s="58">
        <f>'[7]6115REV'!$T$13</f>
        <v>0</v>
      </c>
    </row>
    <row r="14" spans="1:17" x14ac:dyDescent="0.25">
      <c r="A14" s="3" t="s">
        <v>1042</v>
      </c>
      <c r="B14" s="3" t="s">
        <v>11</v>
      </c>
      <c r="C14" s="3" t="s">
        <v>12</v>
      </c>
      <c r="D14" s="3" t="s">
        <v>157</v>
      </c>
      <c r="E14" s="3" t="s">
        <v>1031</v>
      </c>
      <c r="F14" s="3" t="s">
        <v>15</v>
      </c>
      <c r="G14" s="3" t="s">
        <v>16</v>
      </c>
      <c r="H14" s="3" t="s">
        <v>1032</v>
      </c>
      <c r="I14" s="4" t="s">
        <v>18</v>
      </c>
      <c r="J14" s="4">
        <v>3</v>
      </c>
      <c r="K14" s="4"/>
      <c r="L14" s="12">
        <v>9849373.9800000004</v>
      </c>
      <c r="M14" s="13">
        <v>8804071</v>
      </c>
      <c r="N14" s="9">
        <v>8804071</v>
      </c>
      <c r="O14" s="43">
        <f>'[6]6607VEH'!$E$44</f>
        <v>11029140.688841999</v>
      </c>
      <c r="P14" s="39">
        <v>2784875.57</v>
      </c>
      <c r="Q14" s="58">
        <f>'[7]6115REV'!$E$44</f>
        <v>0</v>
      </c>
    </row>
    <row r="15" spans="1:17" x14ac:dyDescent="0.25">
      <c r="A15" s="3" t="s">
        <v>1057</v>
      </c>
      <c r="B15" s="3" t="s">
        <v>11</v>
      </c>
      <c r="C15" s="3" t="s">
        <v>12</v>
      </c>
      <c r="D15" s="3" t="s">
        <v>86</v>
      </c>
      <c r="E15" s="3" t="s">
        <v>635</v>
      </c>
      <c r="F15" s="3" t="s">
        <v>295</v>
      </c>
      <c r="G15" s="3" t="s">
        <v>16</v>
      </c>
      <c r="H15" s="3" t="s">
        <v>789</v>
      </c>
      <c r="I15" s="4" t="s">
        <v>38</v>
      </c>
      <c r="J15" s="4">
        <v>1</v>
      </c>
      <c r="K15" s="4"/>
      <c r="L15" s="12">
        <v>0</v>
      </c>
      <c r="M15" s="13">
        <v>50000</v>
      </c>
      <c r="N15" s="9">
        <v>50000</v>
      </c>
      <c r="O15" s="43">
        <v>0</v>
      </c>
      <c r="P15" s="39">
        <v>0</v>
      </c>
      <c r="Q15" s="44">
        <v>0</v>
      </c>
    </row>
    <row r="16" spans="1:17" x14ac:dyDescent="0.25">
      <c r="A16" s="3" t="s">
        <v>1037</v>
      </c>
      <c r="B16" s="3" t="s">
        <v>11</v>
      </c>
      <c r="C16" s="3" t="s">
        <v>12</v>
      </c>
      <c r="D16" s="3" t="s">
        <v>1638</v>
      </c>
      <c r="E16" s="3" t="s">
        <v>1031</v>
      </c>
      <c r="F16" s="3" t="s">
        <v>15</v>
      </c>
      <c r="G16" s="3" t="s">
        <v>16</v>
      </c>
      <c r="H16" s="3" t="s">
        <v>1032</v>
      </c>
      <c r="I16" s="4" t="s">
        <v>18</v>
      </c>
      <c r="J16" s="4">
        <v>3</v>
      </c>
      <c r="K16" s="4"/>
      <c r="L16" s="12">
        <v>500000</v>
      </c>
      <c r="M16" s="13">
        <v>600000</v>
      </c>
      <c r="N16" s="9">
        <v>600000</v>
      </c>
      <c r="O16" s="43">
        <v>400000</v>
      </c>
      <c r="P16" s="39">
        <v>186268.71</v>
      </c>
      <c r="Q16" s="44">
        <v>400000</v>
      </c>
    </row>
    <row r="17" spans="1:17" x14ac:dyDescent="0.25">
      <c r="A17" s="3" t="s">
        <v>1038</v>
      </c>
      <c r="B17" s="3" t="s">
        <v>11</v>
      </c>
      <c r="C17" s="3" t="s">
        <v>12</v>
      </c>
      <c r="D17" s="3" t="s">
        <v>153</v>
      </c>
      <c r="E17" s="3" t="s">
        <v>1031</v>
      </c>
      <c r="F17" s="3" t="s">
        <v>15</v>
      </c>
      <c r="G17" s="3" t="s">
        <v>16</v>
      </c>
      <c r="H17" s="3" t="s">
        <v>1032</v>
      </c>
      <c r="I17" s="4" t="s">
        <v>18</v>
      </c>
      <c r="J17" s="4">
        <v>3</v>
      </c>
      <c r="K17" s="4"/>
      <c r="L17" s="12">
        <v>820781.16</v>
      </c>
      <c r="M17" s="13">
        <v>770009</v>
      </c>
      <c r="N17" s="9">
        <v>770009</v>
      </c>
      <c r="O17" s="43">
        <f>'[6]6607VEH'!$I$44</f>
        <v>919095.05740349996</v>
      </c>
      <c r="P17" s="39">
        <v>207652.95</v>
      </c>
      <c r="Q17" s="44">
        <f>'[7]6115REV'!$I$44</f>
        <v>0</v>
      </c>
    </row>
    <row r="18" spans="1:17" x14ac:dyDescent="0.25">
      <c r="A18" s="3" t="s">
        <v>1039</v>
      </c>
      <c r="B18" s="3" t="s">
        <v>11</v>
      </c>
      <c r="C18" s="3" t="s">
        <v>12</v>
      </c>
      <c r="D18" s="3" t="s">
        <v>155</v>
      </c>
      <c r="E18" s="3" t="s">
        <v>1031</v>
      </c>
      <c r="F18" s="3" t="s">
        <v>15</v>
      </c>
      <c r="G18" s="3" t="s">
        <v>16</v>
      </c>
      <c r="H18" s="3" t="s">
        <v>1032</v>
      </c>
      <c r="I18" s="4" t="s">
        <v>18</v>
      </c>
      <c r="J18" s="4">
        <v>3</v>
      </c>
      <c r="K18" s="4"/>
      <c r="L18" s="12">
        <v>396058</v>
      </c>
      <c r="M18" s="13">
        <v>375923</v>
      </c>
      <c r="N18" s="9">
        <v>375923</v>
      </c>
      <c r="O18" s="43">
        <f>'[6]6607VEH'!$J$44</f>
        <v>10197.93</v>
      </c>
      <c r="P18" s="39">
        <v>0</v>
      </c>
      <c r="Q18" s="44">
        <f>'[7]6115REV'!$J$44</f>
        <v>0</v>
      </c>
    </row>
    <row r="19" spans="1:17" x14ac:dyDescent="0.25">
      <c r="A19" s="3" t="s">
        <v>1035</v>
      </c>
      <c r="B19" s="3" t="s">
        <v>11</v>
      </c>
      <c r="C19" s="3" t="s">
        <v>12</v>
      </c>
      <c r="D19" s="3" t="s">
        <v>41</v>
      </c>
      <c r="E19" s="3" t="s">
        <v>1031</v>
      </c>
      <c r="F19" s="3" t="s">
        <v>15</v>
      </c>
      <c r="G19" s="3" t="s">
        <v>16</v>
      </c>
      <c r="H19" s="3" t="s">
        <v>1032</v>
      </c>
      <c r="I19" s="4" t="s">
        <v>18</v>
      </c>
      <c r="J19" s="4">
        <v>3</v>
      </c>
      <c r="K19" s="4"/>
      <c r="L19" s="12">
        <v>2166862.2799999998</v>
      </c>
      <c r="M19" s="13">
        <v>1906490</v>
      </c>
      <c r="N19" s="9">
        <v>1906490</v>
      </c>
      <c r="O19" s="43">
        <f>'[6]6607VEH'!$K$44</f>
        <v>2426410.9515452394</v>
      </c>
      <c r="P19" s="39">
        <v>552175.68000000005</v>
      </c>
      <c r="Q19" s="58">
        <f>'[7]6115REV'!$K$44</f>
        <v>0</v>
      </c>
    </row>
    <row r="20" spans="1:17" x14ac:dyDescent="0.25">
      <c r="A20" s="3" t="s">
        <v>1034</v>
      </c>
      <c r="B20" s="3" t="s">
        <v>11</v>
      </c>
      <c r="C20" s="3" t="s">
        <v>12</v>
      </c>
      <c r="D20" s="3" t="s">
        <v>36</v>
      </c>
      <c r="E20" s="3" t="s">
        <v>1031</v>
      </c>
      <c r="F20" s="3" t="s">
        <v>15</v>
      </c>
      <c r="G20" s="3" t="s">
        <v>16</v>
      </c>
      <c r="H20" s="3" t="s">
        <v>1032</v>
      </c>
      <c r="I20" s="4" t="s">
        <v>18</v>
      </c>
      <c r="J20" s="4">
        <v>3</v>
      </c>
      <c r="K20" s="4"/>
      <c r="L20" s="12">
        <v>547016</v>
      </c>
      <c r="M20" s="13">
        <v>602924</v>
      </c>
      <c r="N20" s="9">
        <v>602924</v>
      </c>
      <c r="O20" s="43">
        <f>'[6]6607VEH'!$L$44</f>
        <v>621759.60000000009</v>
      </c>
      <c r="P20" s="39">
        <v>190408.65</v>
      </c>
      <c r="Q20" s="44">
        <f>'[7]6115REV'!$L$44</f>
        <v>0</v>
      </c>
    </row>
    <row r="21" spans="1:17" x14ac:dyDescent="0.25">
      <c r="A21" s="3" t="s">
        <v>1041</v>
      </c>
      <c r="B21" s="3" t="s">
        <v>11</v>
      </c>
      <c r="C21" s="3" t="s">
        <v>12</v>
      </c>
      <c r="D21" s="3" t="s">
        <v>47</v>
      </c>
      <c r="E21" s="3" t="s">
        <v>1031</v>
      </c>
      <c r="F21" s="3" t="s">
        <v>15</v>
      </c>
      <c r="G21" s="3" t="s">
        <v>16</v>
      </c>
      <c r="H21" s="3" t="s">
        <v>1032</v>
      </c>
      <c r="I21" s="4" t="s">
        <v>18</v>
      </c>
      <c r="J21" s="4">
        <v>3</v>
      </c>
      <c r="K21" s="4"/>
      <c r="L21" s="12">
        <v>904543</v>
      </c>
      <c r="M21" s="13">
        <v>731900</v>
      </c>
      <c r="N21" s="9">
        <v>731900</v>
      </c>
      <c r="O21" s="43">
        <f>'[6]6607VEH'!$M$44</f>
        <v>947782.44000000018</v>
      </c>
      <c r="P21" s="39">
        <v>281768.09999999998</v>
      </c>
      <c r="Q21" s="44">
        <f>'[7]6115REV'!$M$44</f>
        <v>0</v>
      </c>
    </row>
    <row r="22" spans="1:17" x14ac:dyDescent="0.25">
      <c r="A22" s="3" t="s">
        <v>1062</v>
      </c>
      <c r="B22" s="3" t="s">
        <v>11</v>
      </c>
      <c r="C22" s="3" t="s">
        <v>12</v>
      </c>
      <c r="D22" s="3" t="s">
        <v>45</v>
      </c>
      <c r="E22" s="3" t="s">
        <v>635</v>
      </c>
      <c r="F22" s="3" t="s">
        <v>37</v>
      </c>
      <c r="G22" s="3" t="s">
        <v>16</v>
      </c>
      <c r="H22" s="3" t="s">
        <v>789</v>
      </c>
      <c r="I22" s="4" t="s">
        <v>38</v>
      </c>
      <c r="J22" s="4">
        <v>3</v>
      </c>
      <c r="K22" s="4"/>
      <c r="L22" s="12">
        <v>35200</v>
      </c>
      <c r="M22" s="13">
        <v>32800</v>
      </c>
      <c r="N22" s="9">
        <v>32800</v>
      </c>
      <c r="O22" s="43">
        <f>'[6]6607VEH'!$N$44</f>
        <v>52800</v>
      </c>
      <c r="P22" s="39">
        <v>16614</v>
      </c>
      <c r="Q22" s="44">
        <f>'[7]6115REV'!$N$44</f>
        <v>0</v>
      </c>
    </row>
    <row r="23" spans="1:17" x14ac:dyDescent="0.25">
      <c r="A23" s="3" t="s">
        <v>1040</v>
      </c>
      <c r="B23" s="3" t="s">
        <v>11</v>
      </c>
      <c r="C23" s="3" t="s">
        <v>12</v>
      </c>
      <c r="D23" s="3" t="s">
        <v>156</v>
      </c>
      <c r="E23" s="3" t="s">
        <v>1031</v>
      </c>
      <c r="F23" s="3" t="s">
        <v>15</v>
      </c>
      <c r="G23" s="3" t="s">
        <v>16</v>
      </c>
      <c r="H23" s="3" t="s">
        <v>1032</v>
      </c>
      <c r="I23" s="4" t="s">
        <v>18</v>
      </c>
      <c r="J23" s="4">
        <v>3</v>
      </c>
      <c r="K23" s="4"/>
      <c r="L23" s="12">
        <v>47141</v>
      </c>
      <c r="M23" s="13">
        <v>46434</v>
      </c>
      <c r="N23" s="9">
        <v>46434</v>
      </c>
      <c r="O23" s="43">
        <f>'[6]6607VEH'!$P$44</f>
        <v>54466.2</v>
      </c>
      <c r="P23" s="39">
        <v>13616.55</v>
      </c>
      <c r="Q23" s="44">
        <f>'[7]6115REV'!$P$44</f>
        <v>0</v>
      </c>
    </row>
    <row r="24" spans="1:17" x14ac:dyDescent="0.25">
      <c r="A24" s="3" t="s">
        <v>1033</v>
      </c>
      <c r="B24" s="3" t="s">
        <v>11</v>
      </c>
      <c r="C24" s="3" t="s">
        <v>12</v>
      </c>
      <c r="D24" s="3" t="s">
        <v>151</v>
      </c>
      <c r="E24" s="3" t="s">
        <v>1031</v>
      </c>
      <c r="F24" s="3" t="s">
        <v>15</v>
      </c>
      <c r="G24" s="3" t="s">
        <v>16</v>
      </c>
      <c r="H24" s="3" t="s">
        <v>1032</v>
      </c>
      <c r="I24" s="4" t="s">
        <v>18</v>
      </c>
      <c r="J24" s="4">
        <v>3</v>
      </c>
      <c r="K24" s="4"/>
      <c r="L24" s="12">
        <v>3762</v>
      </c>
      <c r="M24" s="13">
        <v>3607</v>
      </c>
      <c r="N24" s="9">
        <v>3607</v>
      </c>
      <c r="O24" s="43">
        <f>'[6]6607VEH'!$R$44</f>
        <v>4200</v>
      </c>
      <c r="P24" s="39">
        <v>1034.52</v>
      </c>
      <c r="Q24" s="58">
        <f>'[7]6115REV'!$R$44</f>
        <v>0</v>
      </c>
    </row>
    <row r="25" spans="1:17" x14ac:dyDescent="0.25">
      <c r="A25" s="3" t="s">
        <v>1030</v>
      </c>
      <c r="B25" s="3" t="s">
        <v>11</v>
      </c>
      <c r="C25" s="3" t="s">
        <v>12</v>
      </c>
      <c r="D25" s="3" t="s">
        <v>30</v>
      </c>
      <c r="E25" s="3" t="s">
        <v>1031</v>
      </c>
      <c r="F25" s="3" t="s">
        <v>15</v>
      </c>
      <c r="G25" s="3" t="s">
        <v>16</v>
      </c>
      <c r="H25" s="3" t="s">
        <v>1032</v>
      </c>
      <c r="I25" s="4" t="s">
        <v>18</v>
      </c>
      <c r="J25" s="4">
        <v>3</v>
      </c>
      <c r="K25" s="4"/>
      <c r="L25" s="12">
        <v>98493.74</v>
      </c>
      <c r="M25" s="13">
        <v>97044</v>
      </c>
      <c r="N25" s="9">
        <v>97044</v>
      </c>
      <c r="O25" s="43">
        <f>'[6]6607VEH'!$Q$44</f>
        <v>110291.40688842002</v>
      </c>
      <c r="P25" s="39">
        <v>34548.5</v>
      </c>
      <c r="Q25" s="58">
        <f>'[7]6115REV'!$Q$44</f>
        <v>0</v>
      </c>
    </row>
    <row r="26" spans="1:17" x14ac:dyDescent="0.25">
      <c r="A26" s="3" t="s">
        <v>1036</v>
      </c>
      <c r="B26" s="3" t="s">
        <v>11</v>
      </c>
      <c r="C26" s="3" t="s">
        <v>12</v>
      </c>
      <c r="D26" s="3" t="s">
        <v>43</v>
      </c>
      <c r="E26" s="3" t="s">
        <v>1031</v>
      </c>
      <c r="F26" s="3" t="s">
        <v>15</v>
      </c>
      <c r="G26" s="3" t="s">
        <v>16</v>
      </c>
      <c r="H26" s="3" t="s">
        <v>1032</v>
      </c>
      <c r="I26" s="4" t="s">
        <v>18</v>
      </c>
      <c r="J26" s="4">
        <v>3</v>
      </c>
      <c r="K26" s="4"/>
      <c r="L26" s="12">
        <v>55694.62</v>
      </c>
      <c r="M26" s="13">
        <v>71364</v>
      </c>
      <c r="N26" s="9">
        <v>71364</v>
      </c>
      <c r="O26" s="43">
        <f>'[6]6607VEH'!$T$44</f>
        <v>59518.846987200021</v>
      </c>
      <c r="P26" s="39">
        <v>16459.57</v>
      </c>
      <c r="Q26" s="58">
        <f>'[7]6115REV'!$T$44</f>
        <v>0</v>
      </c>
    </row>
    <row r="27" spans="1:17" x14ac:dyDescent="0.25">
      <c r="A27" s="3" t="s">
        <v>1201</v>
      </c>
      <c r="B27" s="1"/>
      <c r="C27" s="3" t="s">
        <v>12</v>
      </c>
      <c r="D27" s="3" t="s">
        <v>162</v>
      </c>
      <c r="E27" s="3" t="s">
        <v>1031</v>
      </c>
      <c r="F27" s="1"/>
      <c r="G27" s="1"/>
      <c r="H27" s="1"/>
      <c r="I27" s="1"/>
      <c r="J27" s="1"/>
      <c r="K27" s="1"/>
      <c r="L27" s="2">
        <v>0</v>
      </c>
      <c r="M27" s="13">
        <v>35511</v>
      </c>
      <c r="N27" s="9">
        <v>35511</v>
      </c>
      <c r="O27" s="40">
        <v>0</v>
      </c>
      <c r="P27" s="39">
        <v>27719.040000000001</v>
      </c>
      <c r="Q27" s="58">
        <v>30000</v>
      </c>
    </row>
    <row r="28" spans="1:17" x14ac:dyDescent="0.25">
      <c r="A28" s="3" t="s">
        <v>1029</v>
      </c>
      <c r="B28" s="3" t="s">
        <v>11</v>
      </c>
      <c r="C28" s="3" t="s">
        <v>12</v>
      </c>
      <c r="D28" s="3" t="s">
        <v>157</v>
      </c>
      <c r="E28" s="3" t="s">
        <v>1021</v>
      </c>
      <c r="F28" s="3" t="s">
        <v>15</v>
      </c>
      <c r="G28" s="3" t="s">
        <v>16</v>
      </c>
      <c r="H28" s="3" t="s">
        <v>1022</v>
      </c>
      <c r="I28" s="4" t="s">
        <v>18</v>
      </c>
      <c r="J28" s="4">
        <v>3</v>
      </c>
      <c r="K28" s="4"/>
      <c r="L28" s="12">
        <v>1028143</v>
      </c>
      <c r="M28" s="13">
        <v>624209</v>
      </c>
      <c r="N28" s="9">
        <v>624209</v>
      </c>
      <c r="O28" s="43">
        <f>'[6]6603TRANS'!$E$10</f>
        <v>1102181.5117439998</v>
      </c>
      <c r="P28" s="39">
        <v>107936.69</v>
      </c>
      <c r="Q28" s="57">
        <f>'[7]6115REV'!$E$10</f>
        <v>461678.33304300002</v>
      </c>
    </row>
    <row r="29" spans="1:17" x14ac:dyDescent="0.25">
      <c r="A29" s="3" t="s">
        <v>1026</v>
      </c>
      <c r="B29" s="3" t="s">
        <v>11</v>
      </c>
      <c r="C29" s="3" t="s">
        <v>12</v>
      </c>
      <c r="D29" s="3" t="s">
        <v>1630</v>
      </c>
      <c r="E29" s="3" t="s">
        <v>1021</v>
      </c>
      <c r="F29" s="3" t="s">
        <v>15</v>
      </c>
      <c r="G29" s="3" t="s">
        <v>16</v>
      </c>
      <c r="H29" s="3" t="s">
        <v>1022</v>
      </c>
      <c r="I29" s="4" t="s">
        <v>18</v>
      </c>
      <c r="J29" s="4">
        <v>3</v>
      </c>
      <c r="K29" s="4"/>
      <c r="L29" s="12">
        <v>30000</v>
      </c>
      <c r="M29" s="13">
        <v>100000</v>
      </c>
      <c r="N29" s="9">
        <v>100000</v>
      </c>
      <c r="O29" s="43">
        <v>50000</v>
      </c>
      <c r="P29" s="39">
        <v>23903.18</v>
      </c>
      <c r="Q29" s="38">
        <v>50000</v>
      </c>
    </row>
    <row r="30" spans="1:17" x14ac:dyDescent="0.25">
      <c r="A30" s="3" t="s">
        <v>1027</v>
      </c>
      <c r="B30" s="3" t="s">
        <v>11</v>
      </c>
      <c r="C30" s="3" t="s">
        <v>12</v>
      </c>
      <c r="D30" s="3" t="s">
        <v>153</v>
      </c>
      <c r="E30" s="3" t="s">
        <v>1021</v>
      </c>
      <c r="F30" s="3" t="s">
        <v>15</v>
      </c>
      <c r="G30" s="3" t="s">
        <v>16</v>
      </c>
      <c r="H30" s="3" t="s">
        <v>1022</v>
      </c>
      <c r="I30" s="4" t="s">
        <v>18</v>
      </c>
      <c r="J30" s="4">
        <v>3</v>
      </c>
      <c r="K30" s="4"/>
      <c r="L30" s="12">
        <v>85678</v>
      </c>
      <c r="M30" s="13">
        <v>56348</v>
      </c>
      <c r="N30" s="9">
        <v>56348</v>
      </c>
      <c r="O30" s="43">
        <f>'[6]6603TRANS'!$I$10</f>
        <v>91848.459311999992</v>
      </c>
      <c r="P30" s="39">
        <v>0</v>
      </c>
      <c r="Q30" s="38">
        <f>'[7]6115REV'!$I$10</f>
        <v>111081.92841299999</v>
      </c>
    </row>
    <row r="31" spans="1:17" x14ac:dyDescent="0.25">
      <c r="A31" s="3" t="s">
        <v>1028</v>
      </c>
      <c r="B31" s="3" t="s">
        <v>11</v>
      </c>
      <c r="C31" s="3" t="s">
        <v>12</v>
      </c>
      <c r="D31" s="3" t="s">
        <v>155</v>
      </c>
      <c r="E31" s="3" t="s">
        <v>1021</v>
      </c>
      <c r="F31" s="3" t="s">
        <v>15</v>
      </c>
      <c r="G31" s="3" t="s">
        <v>16</v>
      </c>
      <c r="H31" s="3" t="s">
        <v>1022</v>
      </c>
      <c r="I31" s="4" t="s">
        <v>18</v>
      </c>
      <c r="J31" s="4">
        <v>3</v>
      </c>
      <c r="K31" s="4"/>
      <c r="L31" s="12">
        <v>16535</v>
      </c>
      <c r="M31" s="13">
        <v>16535</v>
      </c>
      <c r="N31" s="9">
        <v>16535</v>
      </c>
      <c r="O31" s="43">
        <f>'[8]6603TRANS'!$J$10</f>
        <v>0</v>
      </c>
      <c r="P31" s="39">
        <v>0</v>
      </c>
      <c r="Q31" s="38">
        <v>0</v>
      </c>
    </row>
    <row r="32" spans="1:17" x14ac:dyDescent="0.25">
      <c r="A32" s="3" t="s">
        <v>1024</v>
      </c>
      <c r="B32" s="3" t="s">
        <v>11</v>
      </c>
      <c r="C32" s="3" t="s">
        <v>12</v>
      </c>
      <c r="D32" s="3" t="s">
        <v>41</v>
      </c>
      <c r="E32" s="3" t="s">
        <v>1021</v>
      </c>
      <c r="F32" s="3" t="s">
        <v>15</v>
      </c>
      <c r="G32" s="3" t="s">
        <v>16</v>
      </c>
      <c r="H32" s="3" t="s">
        <v>1022</v>
      </c>
      <c r="I32" s="4" t="s">
        <v>18</v>
      </c>
      <c r="J32" s="4">
        <v>3</v>
      </c>
      <c r="K32" s="4"/>
      <c r="L32" s="12">
        <v>226191</v>
      </c>
      <c r="M32" s="13">
        <v>137326</v>
      </c>
      <c r="N32" s="9">
        <v>137326</v>
      </c>
      <c r="O32" s="43">
        <f>'[6]6603TRANS'!$K$10</f>
        <v>242479.93258367997</v>
      </c>
      <c r="P32" s="39">
        <v>23870.76</v>
      </c>
      <c r="Q32" s="57">
        <f>'[7]6115REV'!$K$10</f>
        <v>101569.23326946</v>
      </c>
    </row>
    <row r="33" spans="1:17" x14ac:dyDescent="0.25">
      <c r="A33" s="3" t="s">
        <v>1020</v>
      </c>
      <c r="B33" s="3" t="s">
        <v>11</v>
      </c>
      <c r="C33" s="3" t="s">
        <v>12</v>
      </c>
      <c r="D33" s="3" t="s">
        <v>151</v>
      </c>
      <c r="E33" s="3" t="s">
        <v>1021</v>
      </c>
      <c r="F33" s="3" t="s">
        <v>15</v>
      </c>
      <c r="G33" s="3" t="s">
        <v>16</v>
      </c>
      <c r="H33" s="3" t="s">
        <v>1022</v>
      </c>
      <c r="I33" s="4" t="s">
        <v>18</v>
      </c>
      <c r="J33" s="4">
        <v>3</v>
      </c>
      <c r="K33" s="4"/>
      <c r="L33" s="12">
        <v>693</v>
      </c>
      <c r="M33" s="13">
        <v>419</v>
      </c>
      <c r="N33" s="9">
        <v>419</v>
      </c>
      <c r="O33" s="43">
        <f>'[8]6603TRANS'!$R$10</f>
        <v>735</v>
      </c>
      <c r="P33" s="39">
        <v>55.92</v>
      </c>
      <c r="Q33" s="57">
        <f>'[7]6115REV'!$R$10</f>
        <v>227.5</v>
      </c>
    </row>
    <row r="34" spans="1:17" x14ac:dyDescent="0.25">
      <c r="A34" s="3" t="s">
        <v>1023</v>
      </c>
      <c r="B34" s="3" t="s">
        <v>11</v>
      </c>
      <c r="C34" s="3" t="s">
        <v>12</v>
      </c>
      <c r="D34" s="3" t="s">
        <v>30</v>
      </c>
      <c r="E34" s="3" t="s">
        <v>1021</v>
      </c>
      <c r="F34" s="3" t="s">
        <v>15</v>
      </c>
      <c r="G34" s="3" t="s">
        <v>16</v>
      </c>
      <c r="H34" s="3" t="s">
        <v>1022</v>
      </c>
      <c r="I34" s="4" t="s">
        <v>18</v>
      </c>
      <c r="J34" s="4">
        <v>3</v>
      </c>
      <c r="K34" s="4"/>
      <c r="L34" s="12">
        <v>10281</v>
      </c>
      <c r="M34" s="13">
        <v>6814</v>
      </c>
      <c r="N34" s="9">
        <v>6814</v>
      </c>
      <c r="O34" s="43">
        <f>'[6]6603TRANS'!$Q$10</f>
        <v>11021.815117439999</v>
      </c>
      <c r="P34" s="39">
        <v>1215.97</v>
      </c>
      <c r="Q34" s="57">
        <f>'[7]6115REV'!$Q$10</f>
        <v>4616.7833304300002</v>
      </c>
    </row>
    <row r="35" spans="1:17" x14ac:dyDescent="0.25">
      <c r="A35" s="3" t="s">
        <v>1025</v>
      </c>
      <c r="B35" s="3" t="s">
        <v>11</v>
      </c>
      <c r="C35" s="3" t="s">
        <v>12</v>
      </c>
      <c r="D35" s="3" t="s">
        <v>43</v>
      </c>
      <c r="E35" s="3" t="s">
        <v>1021</v>
      </c>
      <c r="F35" s="3" t="s">
        <v>15</v>
      </c>
      <c r="G35" s="3" t="s">
        <v>16</v>
      </c>
      <c r="H35" s="3" t="s">
        <v>1022</v>
      </c>
      <c r="I35" s="4" t="s">
        <v>18</v>
      </c>
      <c r="J35" s="4">
        <v>3</v>
      </c>
      <c r="K35" s="4"/>
      <c r="L35" s="12">
        <v>9751</v>
      </c>
      <c r="M35" s="13">
        <v>6470</v>
      </c>
      <c r="N35" s="9">
        <v>6470</v>
      </c>
      <c r="O35" s="43">
        <f>'[6]6603TRANS'!$T$10</f>
        <v>10237.065754379999</v>
      </c>
      <c r="P35" s="39">
        <v>892.32</v>
      </c>
      <c r="Q35" s="57" t="e">
        <f>'[7]6115REV'!$T$10</f>
        <v>#REF!</v>
      </c>
    </row>
    <row r="36" spans="1:17" x14ac:dyDescent="0.25">
      <c r="A36" s="3" t="s">
        <v>1015</v>
      </c>
      <c r="B36" s="3" t="s">
        <v>11</v>
      </c>
      <c r="C36" s="3" t="s">
        <v>12</v>
      </c>
      <c r="D36" s="3" t="s">
        <v>157</v>
      </c>
      <c r="E36" s="3" t="s">
        <v>126</v>
      </c>
      <c r="F36" s="3" t="s">
        <v>15</v>
      </c>
      <c r="G36" s="3" t="s">
        <v>16</v>
      </c>
      <c r="H36" s="3" t="s">
        <v>994</v>
      </c>
      <c r="I36" s="4" t="s">
        <v>18</v>
      </c>
      <c r="J36" s="4">
        <v>3</v>
      </c>
      <c r="K36" s="4"/>
      <c r="L36" s="12">
        <v>5599165.71</v>
      </c>
      <c r="M36" s="13">
        <v>4608054</v>
      </c>
      <c r="N36" s="9">
        <v>4608054</v>
      </c>
      <c r="O36" s="43">
        <f>'[6]6601ROAD'!$E$35</f>
        <v>5947580.710115999</v>
      </c>
      <c r="P36" s="39">
        <v>1070626.4099999999</v>
      </c>
      <c r="Q36" s="57">
        <f>'[7]6115REV'!$E$35</f>
        <v>0</v>
      </c>
    </row>
    <row r="37" spans="1:17" x14ac:dyDescent="0.25">
      <c r="A37" s="3" t="s">
        <v>1008</v>
      </c>
      <c r="B37" s="3" t="s">
        <v>11</v>
      </c>
      <c r="C37" s="3" t="s">
        <v>12</v>
      </c>
      <c r="D37" s="3" t="s">
        <v>1630</v>
      </c>
      <c r="E37" s="3" t="s">
        <v>126</v>
      </c>
      <c r="F37" s="3" t="s">
        <v>15</v>
      </c>
      <c r="G37" s="3" t="s">
        <v>16</v>
      </c>
      <c r="H37" s="3" t="s">
        <v>994</v>
      </c>
      <c r="I37" s="4" t="s">
        <v>18</v>
      </c>
      <c r="J37" s="4">
        <v>3</v>
      </c>
      <c r="K37" s="4"/>
      <c r="L37" s="12">
        <v>400000</v>
      </c>
      <c r="M37" s="13">
        <v>600000</v>
      </c>
      <c r="N37" s="9">
        <v>600000</v>
      </c>
      <c r="O37" s="43">
        <v>460000</v>
      </c>
      <c r="P37" s="39">
        <v>116316.07</v>
      </c>
      <c r="Q37" s="60">
        <v>360000</v>
      </c>
    </row>
    <row r="38" spans="1:17" x14ac:dyDescent="0.25">
      <c r="A38" s="3" t="s">
        <v>1011</v>
      </c>
      <c r="B38" s="3" t="s">
        <v>11</v>
      </c>
      <c r="C38" s="3" t="s">
        <v>12</v>
      </c>
      <c r="D38" s="3" t="s">
        <v>153</v>
      </c>
      <c r="E38" s="3" t="s">
        <v>126</v>
      </c>
      <c r="F38" s="3" t="s">
        <v>15</v>
      </c>
      <c r="G38" s="3" t="s">
        <v>16</v>
      </c>
      <c r="H38" s="3" t="s">
        <v>994</v>
      </c>
      <c r="I38" s="4" t="s">
        <v>18</v>
      </c>
      <c r="J38" s="4">
        <v>3</v>
      </c>
      <c r="K38" s="4"/>
      <c r="L38" s="12">
        <v>466597.14</v>
      </c>
      <c r="M38" s="13">
        <v>409490</v>
      </c>
      <c r="N38" s="9">
        <v>409490</v>
      </c>
      <c r="O38" s="43">
        <f>'[6]6601ROAD'!$I$35</f>
        <v>495631.72584299988</v>
      </c>
      <c r="P38" s="39">
        <v>36683.35</v>
      </c>
      <c r="Q38" s="38">
        <f>'[7]6115REV'!$I$35</f>
        <v>0</v>
      </c>
    </row>
    <row r="39" spans="1:17" x14ac:dyDescent="0.25">
      <c r="A39" s="3" t="s">
        <v>1006</v>
      </c>
      <c r="B39" s="3" t="s">
        <v>11</v>
      </c>
      <c r="C39" s="3" t="s">
        <v>12</v>
      </c>
      <c r="D39" s="3" t="s">
        <v>41</v>
      </c>
      <c r="E39" s="3" t="s">
        <v>126</v>
      </c>
      <c r="F39" s="3" t="s">
        <v>15</v>
      </c>
      <c r="G39" s="3" t="s">
        <v>16</v>
      </c>
      <c r="H39" s="3" t="s">
        <v>994</v>
      </c>
      <c r="I39" s="4" t="s">
        <v>18</v>
      </c>
      <c r="J39" s="4">
        <v>3</v>
      </c>
      <c r="K39" s="4"/>
      <c r="L39" s="12">
        <v>1231816.46</v>
      </c>
      <c r="M39" s="13">
        <v>907422</v>
      </c>
      <c r="N39" s="9">
        <v>907422</v>
      </c>
      <c r="O39" s="43">
        <f>'[6]6601ROAD'!$K$35</f>
        <v>1308467.75622552</v>
      </c>
      <c r="P39" s="39">
        <v>178477.15</v>
      </c>
      <c r="Q39" s="57">
        <f>'[7]6115REV'!$K$35</f>
        <v>0</v>
      </c>
    </row>
    <row r="40" spans="1:17" x14ac:dyDescent="0.25">
      <c r="A40" s="3" t="s">
        <v>1005</v>
      </c>
      <c r="B40" s="3" t="s">
        <v>11</v>
      </c>
      <c r="C40" s="3" t="s">
        <v>12</v>
      </c>
      <c r="D40" s="3" t="s">
        <v>36</v>
      </c>
      <c r="E40" s="3" t="s">
        <v>126</v>
      </c>
      <c r="F40" s="3" t="s">
        <v>15</v>
      </c>
      <c r="G40" s="3" t="s">
        <v>16</v>
      </c>
      <c r="H40" s="3" t="s">
        <v>994</v>
      </c>
      <c r="I40" s="4" t="s">
        <v>18</v>
      </c>
      <c r="J40" s="4">
        <v>3</v>
      </c>
      <c r="K40" s="4"/>
      <c r="L40" s="12">
        <v>192033.6</v>
      </c>
      <c r="M40" s="13">
        <v>173275</v>
      </c>
      <c r="N40" s="9">
        <v>173275</v>
      </c>
      <c r="O40" s="43">
        <f>'[6]6601ROAD'!$L$35</f>
        <v>156960</v>
      </c>
      <c r="P40" s="39">
        <v>35989.199999999997</v>
      </c>
      <c r="Q40" s="38">
        <f>'[7]6115REV'!$L$35</f>
        <v>0</v>
      </c>
    </row>
    <row r="41" spans="1:17" x14ac:dyDescent="0.25">
      <c r="A41" s="3" t="s">
        <v>1014</v>
      </c>
      <c r="B41" s="3" t="s">
        <v>11</v>
      </c>
      <c r="C41" s="3" t="s">
        <v>12</v>
      </c>
      <c r="D41" s="3" t="s">
        <v>47</v>
      </c>
      <c r="E41" s="3" t="s">
        <v>126</v>
      </c>
      <c r="F41" s="3" t="s">
        <v>15</v>
      </c>
      <c r="G41" s="3" t="s">
        <v>16</v>
      </c>
      <c r="H41" s="3" t="s">
        <v>994</v>
      </c>
      <c r="I41" s="4" t="s">
        <v>18</v>
      </c>
      <c r="J41" s="4">
        <v>3</v>
      </c>
      <c r="K41" s="4"/>
      <c r="L41" s="12">
        <v>335921</v>
      </c>
      <c r="M41" s="13">
        <v>241560</v>
      </c>
      <c r="N41" s="9">
        <v>241560</v>
      </c>
      <c r="O41" s="43">
        <f>'[6]6601ROAD'!$M$35</f>
        <v>360519.6</v>
      </c>
      <c r="P41" s="39">
        <v>51022.5</v>
      </c>
      <c r="Q41" s="57">
        <f>'[7]6115REV'!$M$35</f>
        <v>0</v>
      </c>
    </row>
    <row r="42" spans="1:17" x14ac:dyDescent="0.25">
      <c r="A42" s="3" t="s">
        <v>1017</v>
      </c>
      <c r="B42" s="3" t="s">
        <v>11</v>
      </c>
      <c r="C42" s="3" t="s">
        <v>12</v>
      </c>
      <c r="D42" s="3" t="s">
        <v>45</v>
      </c>
      <c r="E42" s="3" t="s">
        <v>126</v>
      </c>
      <c r="F42" s="3" t="s">
        <v>37</v>
      </c>
      <c r="G42" s="3" t="s">
        <v>16</v>
      </c>
      <c r="H42" s="3" t="s">
        <v>994</v>
      </c>
      <c r="I42" s="4" t="s">
        <v>38</v>
      </c>
      <c r="J42" s="4">
        <v>3</v>
      </c>
      <c r="K42" s="4"/>
      <c r="L42" s="12">
        <v>20464</v>
      </c>
      <c r="M42" s="13">
        <v>14374</v>
      </c>
      <c r="N42" s="9">
        <v>14374</v>
      </c>
      <c r="O42" s="43">
        <f>'[6]6601ROAD'!$N$35</f>
        <v>30696</v>
      </c>
      <c r="P42" s="39">
        <v>5112</v>
      </c>
      <c r="Q42" s="57">
        <f>'[7]6115REV'!$N$35</f>
        <v>0</v>
      </c>
    </row>
    <row r="43" spans="1:17" x14ac:dyDescent="0.25">
      <c r="A43" s="3" t="s">
        <v>1013</v>
      </c>
      <c r="B43" s="3" t="s">
        <v>11</v>
      </c>
      <c r="C43" s="3" t="s">
        <v>12</v>
      </c>
      <c r="D43" s="3" t="s">
        <v>156</v>
      </c>
      <c r="E43" s="3" t="s">
        <v>126</v>
      </c>
      <c r="F43" s="3" t="s">
        <v>15</v>
      </c>
      <c r="G43" s="3" t="s">
        <v>16</v>
      </c>
      <c r="H43" s="3" t="s">
        <v>994</v>
      </c>
      <c r="I43" s="4" t="s">
        <v>18</v>
      </c>
      <c r="J43" s="4">
        <v>3</v>
      </c>
      <c r="K43" s="4"/>
      <c r="L43" s="12">
        <v>9559</v>
      </c>
      <c r="M43" s="13">
        <v>10117</v>
      </c>
      <c r="N43" s="9">
        <v>10117</v>
      </c>
      <c r="O43" s="43">
        <f>'[6]6601ROAD'!$P$35</f>
        <v>10893.24</v>
      </c>
      <c r="P43" s="39">
        <v>2723.31</v>
      </c>
      <c r="Q43" s="38">
        <f>'[7]6115REV'!$P$35</f>
        <v>0</v>
      </c>
    </row>
    <row r="44" spans="1:17" x14ac:dyDescent="0.25">
      <c r="A44" s="3" t="s">
        <v>1004</v>
      </c>
      <c r="B44" s="3" t="s">
        <v>11</v>
      </c>
      <c r="C44" s="3" t="s">
        <v>12</v>
      </c>
      <c r="D44" s="3" t="s">
        <v>151</v>
      </c>
      <c r="E44" s="3" t="s">
        <v>126</v>
      </c>
      <c r="F44" s="3" t="s">
        <v>15</v>
      </c>
      <c r="G44" s="3" t="s">
        <v>16</v>
      </c>
      <c r="H44" s="3" t="s">
        <v>994</v>
      </c>
      <c r="I44" s="4" t="s">
        <v>18</v>
      </c>
      <c r="J44" s="4">
        <v>3</v>
      </c>
      <c r="K44" s="4"/>
      <c r="L44" s="12">
        <v>3168</v>
      </c>
      <c r="M44" s="13">
        <v>2726</v>
      </c>
      <c r="N44" s="9">
        <v>2726</v>
      </c>
      <c r="O44" s="43">
        <f>'[6]6601ROAD'!$S$35</f>
        <v>3255</v>
      </c>
      <c r="P44" s="39">
        <v>577.84</v>
      </c>
      <c r="Q44" s="57">
        <f>'[7]6115REV'!$S$35</f>
        <v>0</v>
      </c>
    </row>
    <row r="45" spans="1:17" x14ac:dyDescent="0.25">
      <c r="A45" s="3" t="s">
        <v>1003</v>
      </c>
      <c r="B45" s="3" t="s">
        <v>11</v>
      </c>
      <c r="C45" s="3" t="s">
        <v>12</v>
      </c>
      <c r="D45" s="3" t="s">
        <v>30</v>
      </c>
      <c r="E45" s="3" t="s">
        <v>126</v>
      </c>
      <c r="F45" s="3" t="s">
        <v>15</v>
      </c>
      <c r="G45" s="3" t="s">
        <v>16</v>
      </c>
      <c r="H45" s="3" t="s">
        <v>994</v>
      </c>
      <c r="I45" s="4" t="s">
        <v>18</v>
      </c>
      <c r="J45" s="4">
        <v>3</v>
      </c>
      <c r="K45" s="4"/>
      <c r="L45" s="12">
        <v>55991.66</v>
      </c>
      <c r="M45" s="13">
        <v>47736</v>
      </c>
      <c r="N45" s="9">
        <v>47736</v>
      </c>
      <c r="O45" s="43">
        <f>'[6]6601ROAD'!$R$35</f>
        <v>59475.807101159997</v>
      </c>
      <c r="P45" s="39">
        <v>12889.44</v>
      </c>
      <c r="Q45" s="57">
        <f>'[7]6115REV'!$R$35</f>
        <v>0</v>
      </c>
    </row>
    <row r="46" spans="1:17" x14ac:dyDescent="0.25">
      <c r="A46" s="3" t="s">
        <v>1012</v>
      </c>
      <c r="B46" s="3" t="s">
        <v>11</v>
      </c>
      <c r="C46" s="3" t="s">
        <v>12</v>
      </c>
      <c r="D46" s="3" t="s">
        <v>155</v>
      </c>
      <c r="E46" s="3" t="s">
        <v>126</v>
      </c>
      <c r="F46" s="3" t="s">
        <v>15</v>
      </c>
      <c r="G46" s="3" t="s">
        <v>16</v>
      </c>
      <c r="H46" s="3" t="s">
        <v>994</v>
      </c>
      <c r="I46" s="4" t="s">
        <v>18</v>
      </c>
      <c r="J46" s="4">
        <v>3</v>
      </c>
      <c r="K46" s="4"/>
      <c r="L46" s="12">
        <v>253768</v>
      </c>
      <c r="M46" s="13">
        <v>237501</v>
      </c>
      <c r="N46" s="9">
        <v>237501</v>
      </c>
      <c r="O46" s="43">
        <f>'[6]6601ROAD'!$J$35</f>
        <v>0</v>
      </c>
      <c r="P46" s="39"/>
      <c r="Q46" s="38">
        <v>0</v>
      </c>
    </row>
    <row r="47" spans="1:17" x14ac:dyDescent="0.25">
      <c r="A47" s="3" t="s">
        <v>1009</v>
      </c>
      <c r="B47" s="3" t="s">
        <v>11</v>
      </c>
      <c r="C47" s="3" t="s">
        <v>12</v>
      </c>
      <c r="D47" s="3" t="s">
        <v>1010</v>
      </c>
      <c r="E47" s="3" t="s">
        <v>126</v>
      </c>
      <c r="F47" s="3" t="s">
        <v>37</v>
      </c>
      <c r="G47" s="3" t="s">
        <v>16</v>
      </c>
      <c r="H47" s="3" t="s">
        <v>994</v>
      </c>
      <c r="I47" s="4" t="s">
        <v>38</v>
      </c>
      <c r="J47" s="4">
        <v>1</v>
      </c>
      <c r="K47" s="4"/>
      <c r="L47" s="12">
        <v>0</v>
      </c>
      <c r="M47" s="13">
        <v>29871</v>
      </c>
      <c r="N47" s="9">
        <v>29871</v>
      </c>
      <c r="O47" s="43">
        <f>'[6]6601ROAD'!$Q$35</f>
        <v>44806.92</v>
      </c>
      <c r="P47" s="39">
        <v>0</v>
      </c>
      <c r="Q47" s="38">
        <f>'[7]6115REV'!$Q$35</f>
        <v>0</v>
      </c>
    </row>
    <row r="48" spans="1:17" x14ac:dyDescent="0.25">
      <c r="A48" s="3" t="s">
        <v>1019</v>
      </c>
      <c r="B48" s="3" t="s">
        <v>11</v>
      </c>
      <c r="C48" s="3" t="s">
        <v>12</v>
      </c>
      <c r="D48" s="3" t="s">
        <v>162</v>
      </c>
      <c r="E48" s="3" t="s">
        <v>126</v>
      </c>
      <c r="F48" s="3" t="s">
        <v>37</v>
      </c>
      <c r="G48" s="3" t="s">
        <v>16</v>
      </c>
      <c r="H48" s="3" t="s">
        <v>994</v>
      </c>
      <c r="I48" s="4" t="s">
        <v>38</v>
      </c>
      <c r="J48" s="4">
        <v>1</v>
      </c>
      <c r="K48" s="4"/>
      <c r="L48" s="12">
        <v>0</v>
      </c>
      <c r="M48" s="13">
        <v>0</v>
      </c>
      <c r="N48" s="9">
        <v>0</v>
      </c>
      <c r="O48" s="43"/>
      <c r="P48" s="39"/>
      <c r="Q48" s="38"/>
    </row>
    <row r="49" spans="1:17" x14ac:dyDescent="0.25">
      <c r="A49" s="3" t="s">
        <v>1018</v>
      </c>
      <c r="B49" s="3" t="s">
        <v>11</v>
      </c>
      <c r="C49" s="3" t="s">
        <v>12</v>
      </c>
      <c r="D49" s="3" t="s">
        <v>193</v>
      </c>
      <c r="E49" s="3" t="s">
        <v>126</v>
      </c>
      <c r="F49" s="3" t="s">
        <v>37</v>
      </c>
      <c r="G49" s="3" t="s">
        <v>16</v>
      </c>
      <c r="H49" s="3" t="s">
        <v>994</v>
      </c>
      <c r="I49" s="4" t="s">
        <v>38</v>
      </c>
      <c r="J49" s="4">
        <v>1</v>
      </c>
      <c r="K49" s="4"/>
      <c r="L49" s="12">
        <v>0</v>
      </c>
      <c r="M49" s="13">
        <v>0</v>
      </c>
      <c r="N49" s="9">
        <v>0</v>
      </c>
      <c r="O49" s="43"/>
      <c r="P49" s="39"/>
      <c r="Q49" s="38"/>
    </row>
    <row r="50" spans="1:17" x14ac:dyDescent="0.25">
      <c r="A50" s="3" t="s">
        <v>1007</v>
      </c>
      <c r="B50" s="3" t="s">
        <v>11</v>
      </c>
      <c r="C50" s="3" t="s">
        <v>12</v>
      </c>
      <c r="D50" s="3" t="s">
        <v>43</v>
      </c>
      <c r="E50" s="3" t="s">
        <v>126</v>
      </c>
      <c r="F50" s="3" t="s">
        <v>15</v>
      </c>
      <c r="G50" s="3" t="s">
        <v>16</v>
      </c>
      <c r="H50" s="3" t="s">
        <v>994</v>
      </c>
      <c r="I50" s="4" t="s">
        <v>18</v>
      </c>
      <c r="J50" s="4">
        <v>3</v>
      </c>
      <c r="K50" s="4"/>
      <c r="L50" s="12">
        <v>44895.3</v>
      </c>
      <c r="M50" s="13">
        <v>43757</v>
      </c>
      <c r="N50" s="9">
        <v>43757</v>
      </c>
      <c r="O50" s="43">
        <f>'[6]6601ROAD'!$U$35</f>
        <v>45433.753387440003</v>
      </c>
      <c r="P50" s="39">
        <v>29447.040000000001</v>
      </c>
      <c r="Q50" s="57">
        <f>'[7]6115REV'!$U$35</f>
        <v>0</v>
      </c>
    </row>
    <row r="51" spans="1:17" x14ac:dyDescent="0.25">
      <c r="A51" s="3"/>
      <c r="B51" s="3"/>
      <c r="C51" s="3"/>
      <c r="D51" s="3" t="s">
        <v>162</v>
      </c>
      <c r="E51" s="3"/>
      <c r="F51" s="3"/>
      <c r="G51" s="3"/>
      <c r="H51" s="3"/>
      <c r="I51" s="4"/>
      <c r="J51" s="4"/>
      <c r="K51" s="4"/>
      <c r="L51" s="12"/>
      <c r="M51" s="13"/>
      <c r="N51" s="9"/>
      <c r="O51" s="43"/>
      <c r="P51" s="39">
        <v>10107.219999999999</v>
      </c>
      <c r="Q51" s="57">
        <v>30000</v>
      </c>
    </row>
    <row r="52" spans="1:17" x14ac:dyDescent="0.25">
      <c r="A52" s="3" t="s">
        <v>1154</v>
      </c>
      <c r="B52" s="3" t="s">
        <v>11</v>
      </c>
      <c r="C52" s="3" t="s">
        <v>12</v>
      </c>
      <c r="D52" s="3" t="s">
        <v>157</v>
      </c>
      <c r="E52" s="3" t="s">
        <v>301</v>
      </c>
      <c r="F52" s="3" t="s">
        <v>15</v>
      </c>
      <c r="G52" s="3" t="s">
        <v>16</v>
      </c>
      <c r="H52" s="3" t="s">
        <v>302</v>
      </c>
      <c r="I52" s="4" t="s">
        <v>18</v>
      </c>
      <c r="J52" s="4">
        <v>3</v>
      </c>
      <c r="K52" s="4"/>
      <c r="L52" s="12">
        <v>5938374.1500000004</v>
      </c>
      <c r="M52" s="9">
        <v>5385908.5</v>
      </c>
      <c r="N52" s="9">
        <v>5385908.5</v>
      </c>
      <c r="O52" s="43">
        <f>'[6]6501REFU'!$E$38</f>
        <v>6002177.9794200016</v>
      </c>
      <c r="P52" s="39">
        <v>1208363.04</v>
      </c>
      <c r="Q52" s="57">
        <f>'[7]6115REV'!$E$38</f>
        <v>0</v>
      </c>
    </row>
    <row r="53" spans="1:17" x14ac:dyDescent="0.25">
      <c r="A53" s="3" t="s">
        <v>1147</v>
      </c>
      <c r="B53" s="3" t="s">
        <v>11</v>
      </c>
      <c r="C53" s="3" t="s">
        <v>12</v>
      </c>
      <c r="D53" s="3" t="s">
        <v>86</v>
      </c>
      <c r="E53" s="3" t="s">
        <v>301</v>
      </c>
      <c r="F53" s="3" t="s">
        <v>37</v>
      </c>
      <c r="G53" s="3" t="s">
        <v>16</v>
      </c>
      <c r="H53" s="3" t="s">
        <v>302</v>
      </c>
      <c r="I53" s="4" t="s">
        <v>38</v>
      </c>
      <c r="J53" s="4">
        <v>1</v>
      </c>
      <c r="K53" s="4"/>
      <c r="L53" s="12">
        <v>0</v>
      </c>
      <c r="M53" s="9">
        <v>0</v>
      </c>
      <c r="N53" s="9">
        <v>0</v>
      </c>
      <c r="O53" s="39">
        <v>0</v>
      </c>
      <c r="P53" s="39"/>
      <c r="Q53" s="38"/>
    </row>
    <row r="54" spans="1:17" x14ac:dyDescent="0.25">
      <c r="A54" s="3" t="s">
        <v>1146</v>
      </c>
      <c r="B54" s="3" t="s">
        <v>11</v>
      </c>
      <c r="C54" s="3" t="s">
        <v>12</v>
      </c>
      <c r="D54" s="3" t="s">
        <v>1630</v>
      </c>
      <c r="E54" s="3" t="s">
        <v>301</v>
      </c>
      <c r="F54" s="3" t="s">
        <v>15</v>
      </c>
      <c r="G54" s="3" t="s">
        <v>16</v>
      </c>
      <c r="H54" s="3" t="s">
        <v>302</v>
      </c>
      <c r="I54" s="4" t="s">
        <v>18</v>
      </c>
      <c r="J54" s="4">
        <v>3</v>
      </c>
      <c r="K54" s="4"/>
      <c r="L54" s="12">
        <v>350000</v>
      </c>
      <c r="M54" s="9">
        <v>450000</v>
      </c>
      <c r="N54" s="9">
        <v>450000</v>
      </c>
      <c r="O54" s="39">
        <v>300000</v>
      </c>
      <c r="P54" s="39">
        <v>118108.66</v>
      </c>
      <c r="Q54" s="38">
        <v>300000</v>
      </c>
    </row>
    <row r="55" spans="1:17" x14ac:dyDescent="0.25">
      <c r="A55" s="3" t="s">
        <v>1148</v>
      </c>
      <c r="B55" s="3" t="s">
        <v>11</v>
      </c>
      <c r="C55" s="3" t="s">
        <v>12</v>
      </c>
      <c r="D55" s="3" t="s">
        <v>153</v>
      </c>
      <c r="E55" s="3" t="s">
        <v>301</v>
      </c>
      <c r="F55" s="3" t="s">
        <v>15</v>
      </c>
      <c r="G55" s="3" t="s">
        <v>16</v>
      </c>
      <c r="H55" s="3" t="s">
        <v>302</v>
      </c>
      <c r="I55" s="4" t="s">
        <v>18</v>
      </c>
      <c r="J55" s="4">
        <v>3</v>
      </c>
      <c r="K55" s="4"/>
      <c r="L55" s="12">
        <v>493716.97</v>
      </c>
      <c r="M55" s="9">
        <v>448241</v>
      </c>
      <c r="N55" s="9">
        <v>448241</v>
      </c>
      <c r="O55" s="43">
        <f>'[6]6501REFU'!$I$38</f>
        <v>500181.49828499975</v>
      </c>
      <c r="P55" s="39">
        <v>112771.98</v>
      </c>
      <c r="Q55" s="38">
        <f>'[7]6115REV'!$I$38</f>
        <v>0</v>
      </c>
    </row>
    <row r="56" spans="1:17" x14ac:dyDescent="0.25">
      <c r="A56" s="3" t="s">
        <v>1149</v>
      </c>
      <c r="B56" s="3" t="s">
        <v>11</v>
      </c>
      <c r="C56" s="3" t="s">
        <v>12</v>
      </c>
      <c r="D56" s="3" t="s">
        <v>155</v>
      </c>
      <c r="E56" s="3" t="s">
        <v>301</v>
      </c>
      <c r="F56" s="3" t="s">
        <v>15</v>
      </c>
      <c r="G56" s="3" t="s">
        <v>16</v>
      </c>
      <c r="H56" s="3" t="s">
        <v>302</v>
      </c>
      <c r="I56" s="4" t="s">
        <v>18</v>
      </c>
      <c r="J56" s="4">
        <v>3</v>
      </c>
      <c r="K56" s="4"/>
      <c r="L56" s="12">
        <v>294474</v>
      </c>
      <c r="M56" s="9">
        <v>296742</v>
      </c>
      <c r="N56" s="9">
        <v>296742</v>
      </c>
      <c r="O56" s="43">
        <f>'[8]6501REFU'!$J$40</f>
        <v>0</v>
      </c>
      <c r="P56" s="39">
        <v>19736.05</v>
      </c>
      <c r="Q56" s="57">
        <v>20000</v>
      </c>
    </row>
    <row r="57" spans="1:17" x14ac:dyDescent="0.25">
      <c r="A57" s="3" t="s">
        <v>1144</v>
      </c>
      <c r="B57" s="3" t="s">
        <v>11</v>
      </c>
      <c r="C57" s="3" t="s">
        <v>12</v>
      </c>
      <c r="D57" s="3" t="s">
        <v>41</v>
      </c>
      <c r="E57" s="3" t="s">
        <v>301</v>
      </c>
      <c r="F57" s="3" t="s">
        <v>15</v>
      </c>
      <c r="G57" s="3" t="s">
        <v>16</v>
      </c>
      <c r="H57" s="3" t="s">
        <v>302</v>
      </c>
      <c r="I57" s="4" t="s">
        <v>18</v>
      </c>
      <c r="J57" s="4">
        <v>3</v>
      </c>
      <c r="K57" s="4"/>
      <c r="L57" s="12">
        <v>1306442.31</v>
      </c>
      <c r="M57" s="9">
        <v>1116406</v>
      </c>
      <c r="N57" s="9">
        <v>1116406</v>
      </c>
      <c r="O57" s="43">
        <f>'[6]6501REFU'!$K$38</f>
        <v>1320479.1554723992</v>
      </c>
      <c r="P57" s="39">
        <v>237603.84</v>
      </c>
      <c r="Q57" s="57">
        <f>'[7]6115REV'!$K$38</f>
        <v>0</v>
      </c>
    </row>
    <row r="58" spans="1:17" x14ac:dyDescent="0.25">
      <c r="A58" s="3" t="s">
        <v>1143</v>
      </c>
      <c r="B58" s="3" t="s">
        <v>11</v>
      </c>
      <c r="C58" s="3" t="s">
        <v>12</v>
      </c>
      <c r="D58" s="3" t="s">
        <v>36</v>
      </c>
      <c r="E58" s="3" t="s">
        <v>301</v>
      </c>
      <c r="F58" s="3" t="s">
        <v>15</v>
      </c>
      <c r="G58" s="3" t="s">
        <v>16</v>
      </c>
      <c r="H58" s="3" t="s">
        <v>302</v>
      </c>
      <c r="I58" s="4" t="s">
        <v>18</v>
      </c>
      <c r="J58" s="4">
        <v>3</v>
      </c>
      <c r="K58" s="4"/>
      <c r="L58" s="12">
        <v>48298</v>
      </c>
      <c r="M58" s="9">
        <v>57042</v>
      </c>
      <c r="N58" s="9">
        <v>57042</v>
      </c>
      <c r="O58" s="43">
        <f>'[6]6501REFU'!$L$38</f>
        <v>55123.200000000004</v>
      </c>
      <c r="P58" s="39">
        <v>21888</v>
      </c>
      <c r="Q58" s="38">
        <f>'[7]6115REV'!$L$38</f>
        <v>0</v>
      </c>
    </row>
    <row r="59" spans="1:17" x14ac:dyDescent="0.25">
      <c r="A59" s="3" t="s">
        <v>1153</v>
      </c>
      <c r="B59" s="3" t="s">
        <v>11</v>
      </c>
      <c r="C59" s="3" t="s">
        <v>12</v>
      </c>
      <c r="D59" s="3" t="s">
        <v>47</v>
      </c>
      <c r="E59" s="3" t="s">
        <v>301</v>
      </c>
      <c r="F59" s="3" t="s">
        <v>15</v>
      </c>
      <c r="G59" s="3" t="s">
        <v>16</v>
      </c>
      <c r="H59" s="3" t="s">
        <v>302</v>
      </c>
      <c r="I59" s="4" t="s">
        <v>18</v>
      </c>
      <c r="J59" s="4">
        <v>3</v>
      </c>
      <c r="K59" s="4"/>
      <c r="L59" s="12">
        <v>522585</v>
      </c>
      <c r="M59" s="9">
        <v>428815</v>
      </c>
      <c r="N59" s="9">
        <v>428815</v>
      </c>
      <c r="O59" s="43">
        <f>'[6]6501REFU'!$M$38</f>
        <v>628023.93960000004</v>
      </c>
      <c r="P59" s="39">
        <v>103379.76</v>
      </c>
      <c r="Q59" s="57">
        <f>'[7]6115REV'!$M$38</f>
        <v>0</v>
      </c>
    </row>
    <row r="60" spans="1:17" x14ac:dyDescent="0.25">
      <c r="A60" s="3" t="s">
        <v>1169</v>
      </c>
      <c r="B60" s="3" t="s">
        <v>11</v>
      </c>
      <c r="C60" s="3" t="s">
        <v>12</v>
      </c>
      <c r="D60" s="3" t="s">
        <v>45</v>
      </c>
      <c r="E60" s="3" t="s">
        <v>301</v>
      </c>
      <c r="F60" s="3" t="s">
        <v>37</v>
      </c>
      <c r="G60" s="3" t="s">
        <v>16</v>
      </c>
      <c r="H60" s="3" t="s">
        <v>302</v>
      </c>
      <c r="I60" s="4" t="s">
        <v>38</v>
      </c>
      <c r="J60" s="4">
        <v>3</v>
      </c>
      <c r="K60" s="4"/>
      <c r="L60" s="12">
        <v>27200</v>
      </c>
      <c r="M60" s="9">
        <v>23700</v>
      </c>
      <c r="N60" s="9">
        <v>23700</v>
      </c>
      <c r="O60" s="43">
        <f>'[6]6501REFU'!$N$38</f>
        <v>48000</v>
      </c>
      <c r="P60" s="39">
        <v>7029</v>
      </c>
      <c r="Q60" s="57">
        <f>'[7]6115REV'!$N$38</f>
        <v>0</v>
      </c>
    </row>
    <row r="61" spans="1:17" x14ac:dyDescent="0.25">
      <c r="A61" s="3" t="s">
        <v>1151</v>
      </c>
      <c r="B61" s="3" t="s">
        <v>11</v>
      </c>
      <c r="C61" s="3" t="s">
        <v>12</v>
      </c>
      <c r="D61" s="3" t="s">
        <v>1631</v>
      </c>
      <c r="E61" s="3" t="s">
        <v>301</v>
      </c>
      <c r="F61" s="3" t="s">
        <v>15</v>
      </c>
      <c r="G61" s="3" t="s">
        <v>16</v>
      </c>
      <c r="H61" s="3" t="s">
        <v>302</v>
      </c>
      <c r="I61" s="4" t="s">
        <v>18</v>
      </c>
      <c r="J61" s="4">
        <v>3</v>
      </c>
      <c r="K61" s="4"/>
      <c r="L61" s="12">
        <v>5000</v>
      </c>
      <c r="M61" s="9">
        <v>0</v>
      </c>
      <c r="N61" s="9">
        <v>0</v>
      </c>
      <c r="O61" s="43">
        <f>'[6]6501REFU'!$O$38</f>
        <v>0</v>
      </c>
      <c r="P61" s="39">
        <v>0</v>
      </c>
      <c r="Q61" s="38">
        <v>0</v>
      </c>
    </row>
    <row r="62" spans="1:17" x14ac:dyDescent="0.25">
      <c r="A62" s="3" t="s">
        <v>1152</v>
      </c>
      <c r="B62" s="3" t="s">
        <v>11</v>
      </c>
      <c r="C62" s="3" t="s">
        <v>12</v>
      </c>
      <c r="D62" s="3" t="s">
        <v>156</v>
      </c>
      <c r="E62" s="3" t="s">
        <v>301</v>
      </c>
      <c r="F62" s="3" t="s">
        <v>15</v>
      </c>
      <c r="G62" s="3" t="s">
        <v>16</v>
      </c>
      <c r="H62" s="3" t="s">
        <v>302</v>
      </c>
      <c r="I62" s="4" t="s">
        <v>18</v>
      </c>
      <c r="J62" s="4">
        <v>3</v>
      </c>
      <c r="K62" s="4"/>
      <c r="L62" s="12">
        <v>9559</v>
      </c>
      <c r="M62" s="9">
        <v>0</v>
      </c>
      <c r="N62" s="9">
        <v>0</v>
      </c>
      <c r="O62" s="43">
        <f>'[6]6501REFU'!$P$38</f>
        <v>0</v>
      </c>
      <c r="P62" s="39">
        <v>0</v>
      </c>
      <c r="Q62" s="38">
        <v>0</v>
      </c>
    </row>
    <row r="63" spans="1:17" x14ac:dyDescent="0.25">
      <c r="A63" s="3" t="s">
        <v>1170</v>
      </c>
      <c r="B63" s="3" t="s">
        <v>11</v>
      </c>
      <c r="C63" s="3" t="s">
        <v>12</v>
      </c>
      <c r="D63" s="3" t="s">
        <v>151</v>
      </c>
      <c r="E63" s="3" t="s">
        <v>301</v>
      </c>
      <c r="F63" s="3" t="s">
        <v>37</v>
      </c>
      <c r="G63" s="3" t="s">
        <v>16</v>
      </c>
      <c r="H63" s="3" t="s">
        <v>302</v>
      </c>
      <c r="I63" s="4" t="s">
        <v>38</v>
      </c>
      <c r="J63" s="4">
        <v>1</v>
      </c>
      <c r="K63" s="4"/>
      <c r="L63" s="12">
        <v>0</v>
      </c>
      <c r="M63" s="9">
        <v>0</v>
      </c>
      <c r="N63" s="9">
        <v>0</v>
      </c>
      <c r="O63" s="43">
        <v>0</v>
      </c>
      <c r="P63" s="39"/>
      <c r="Q63" s="38"/>
    </row>
    <row r="64" spans="1:17" x14ac:dyDescent="0.25">
      <c r="A64" s="3" t="s">
        <v>1162</v>
      </c>
      <c r="B64" s="3" t="s">
        <v>11</v>
      </c>
      <c r="C64" s="3" t="s">
        <v>12</v>
      </c>
      <c r="D64" s="3" t="s">
        <v>151</v>
      </c>
      <c r="E64" s="3" t="s">
        <v>301</v>
      </c>
      <c r="F64" s="3" t="s">
        <v>15</v>
      </c>
      <c r="G64" s="3" t="s">
        <v>16</v>
      </c>
      <c r="H64" s="3" t="s">
        <v>302</v>
      </c>
      <c r="I64" s="4" t="s">
        <v>18</v>
      </c>
      <c r="J64" s="4">
        <v>3</v>
      </c>
      <c r="K64" s="4"/>
      <c r="L64" s="12">
        <v>3663</v>
      </c>
      <c r="M64" s="9">
        <v>3405</v>
      </c>
      <c r="N64" s="9">
        <v>3405</v>
      </c>
      <c r="O64" s="43">
        <f>'[6]6501REFU'!$R$38</f>
        <v>3570</v>
      </c>
      <c r="P64" s="39">
        <v>726.96</v>
      </c>
      <c r="Q64" s="57">
        <f>'[7]6115REV'!$R$38</f>
        <v>0</v>
      </c>
    </row>
    <row r="65" spans="1:17" x14ac:dyDescent="0.25">
      <c r="A65" s="3" t="s">
        <v>1142</v>
      </c>
      <c r="B65" s="3" t="s">
        <v>11</v>
      </c>
      <c r="C65" s="3" t="s">
        <v>12</v>
      </c>
      <c r="D65" s="3" t="s">
        <v>30</v>
      </c>
      <c r="E65" s="3" t="s">
        <v>301</v>
      </c>
      <c r="F65" s="3" t="s">
        <v>15</v>
      </c>
      <c r="G65" s="3" t="s">
        <v>16</v>
      </c>
      <c r="H65" s="3" t="s">
        <v>302</v>
      </c>
      <c r="I65" s="4" t="s">
        <v>18</v>
      </c>
      <c r="J65" s="4">
        <v>3</v>
      </c>
      <c r="K65" s="4"/>
      <c r="L65" s="12">
        <v>59383.74</v>
      </c>
      <c r="M65" s="9">
        <v>56566</v>
      </c>
      <c r="N65" s="9">
        <v>56566</v>
      </c>
      <c r="O65" s="43">
        <f>'[6]6501REFU'!$Q$38</f>
        <v>60021.779794200047</v>
      </c>
      <c r="P65" s="39">
        <v>15139.71</v>
      </c>
      <c r="Q65" s="57">
        <f>'[7]6115REV'!$Q$38</f>
        <v>0</v>
      </c>
    </row>
    <row r="66" spans="1:17" x14ac:dyDescent="0.25">
      <c r="A66" s="3" t="s">
        <v>1150</v>
      </c>
      <c r="B66" s="3" t="s">
        <v>11</v>
      </c>
      <c r="C66" s="3" t="s">
        <v>12</v>
      </c>
      <c r="D66" s="3" t="s">
        <v>193</v>
      </c>
      <c r="E66" s="3" t="s">
        <v>301</v>
      </c>
      <c r="F66" s="3" t="s">
        <v>15</v>
      </c>
      <c r="G66" s="3" t="s">
        <v>16</v>
      </c>
      <c r="H66" s="3" t="s">
        <v>302</v>
      </c>
      <c r="I66" s="4" t="s">
        <v>18</v>
      </c>
      <c r="J66" s="4">
        <v>3</v>
      </c>
      <c r="K66" s="4"/>
      <c r="L66" s="12">
        <v>41876</v>
      </c>
      <c r="M66" s="9">
        <v>17448</v>
      </c>
      <c r="N66" s="9">
        <v>17448</v>
      </c>
      <c r="O66" s="43">
        <f>'[6]6501REFU'!$S$38</f>
        <v>41875.68</v>
      </c>
      <c r="P66" s="39">
        <v>0</v>
      </c>
      <c r="Q66" s="57">
        <f>'[7]6115REV'!$S$38</f>
        <v>0</v>
      </c>
    </row>
    <row r="67" spans="1:17" x14ac:dyDescent="0.25">
      <c r="A67" s="3" t="s">
        <v>1145</v>
      </c>
      <c r="B67" s="3" t="s">
        <v>11</v>
      </c>
      <c r="C67" s="3" t="s">
        <v>12</v>
      </c>
      <c r="D67" s="3" t="s">
        <v>43</v>
      </c>
      <c r="E67" s="3" t="s">
        <v>301</v>
      </c>
      <c r="F67" s="3" t="s">
        <v>15</v>
      </c>
      <c r="G67" s="3" t="s">
        <v>16</v>
      </c>
      <c r="H67" s="3" t="s">
        <v>302</v>
      </c>
      <c r="I67" s="4" t="s">
        <v>18</v>
      </c>
      <c r="J67" s="4">
        <v>3</v>
      </c>
      <c r="K67" s="4"/>
      <c r="L67" s="12">
        <v>51003.55</v>
      </c>
      <c r="M67" s="9">
        <v>53190</v>
      </c>
      <c r="N67" s="9">
        <v>53190</v>
      </c>
      <c r="O67" s="43">
        <f>'[6]6501REFU'!$T$38</f>
        <v>49576.313899200031</v>
      </c>
      <c r="P67" s="39">
        <v>12204.28</v>
      </c>
      <c r="Q67" s="57">
        <f>'[7]6115REV'!$T$38</f>
        <v>0</v>
      </c>
    </row>
    <row r="68" spans="1:17" x14ac:dyDescent="0.25">
      <c r="A68" s="3" t="s">
        <v>1200</v>
      </c>
      <c r="B68" s="3" t="s">
        <v>162</v>
      </c>
      <c r="C68" s="3" t="s">
        <v>12</v>
      </c>
      <c r="D68" s="3" t="s">
        <v>162</v>
      </c>
      <c r="E68" s="3" t="s">
        <v>301</v>
      </c>
      <c r="F68" s="1"/>
      <c r="G68" s="1"/>
      <c r="H68" s="1"/>
      <c r="I68" s="1"/>
      <c r="J68" s="1"/>
      <c r="K68" s="1"/>
      <c r="L68" s="2">
        <v>0</v>
      </c>
      <c r="M68" s="9">
        <v>32673</v>
      </c>
      <c r="N68" s="9">
        <v>32673</v>
      </c>
      <c r="O68" s="39">
        <v>0</v>
      </c>
      <c r="P68" s="39">
        <v>27719.040000000001</v>
      </c>
      <c r="Q68" s="57">
        <v>30000</v>
      </c>
    </row>
    <row r="69" spans="1:17" x14ac:dyDescent="0.25">
      <c r="A69" s="3" t="s">
        <v>986</v>
      </c>
      <c r="B69" s="3" t="s">
        <v>11</v>
      </c>
      <c r="C69" s="3" t="s">
        <v>12</v>
      </c>
      <c r="D69" s="3" t="s">
        <v>157</v>
      </c>
      <c r="E69" s="3" t="s">
        <v>971</v>
      </c>
      <c r="F69" s="3" t="s">
        <v>15</v>
      </c>
      <c r="G69" s="3" t="s">
        <v>16</v>
      </c>
      <c r="H69" s="3" t="s">
        <v>725</v>
      </c>
      <c r="I69" s="4" t="s">
        <v>18</v>
      </c>
      <c r="J69" s="4">
        <v>3</v>
      </c>
      <c r="K69" s="4"/>
      <c r="L69" s="12">
        <v>3637749.9</v>
      </c>
      <c r="M69" s="13">
        <v>3696054</v>
      </c>
      <c r="N69" s="9">
        <v>3696054</v>
      </c>
      <c r="O69" s="43">
        <f>'[6]6401SPORTS'!$E$26</f>
        <v>4155164.2678320003</v>
      </c>
      <c r="P69" s="39">
        <v>722132.7</v>
      </c>
      <c r="Q69" s="57">
        <f>'[7]6115REV'!$E$26</f>
        <v>0</v>
      </c>
    </row>
    <row r="70" spans="1:17" x14ac:dyDescent="0.25">
      <c r="A70" s="3" t="s">
        <v>982</v>
      </c>
      <c r="B70" s="3" t="s">
        <v>11</v>
      </c>
      <c r="C70" s="3" t="s">
        <v>12</v>
      </c>
      <c r="D70" s="3" t="s">
        <v>1630</v>
      </c>
      <c r="E70" s="3" t="s">
        <v>971</v>
      </c>
      <c r="F70" s="3" t="s">
        <v>15</v>
      </c>
      <c r="G70" s="3" t="s">
        <v>16</v>
      </c>
      <c r="H70" s="3" t="s">
        <v>725</v>
      </c>
      <c r="I70" s="4" t="s">
        <v>18</v>
      </c>
      <c r="J70" s="4">
        <v>3</v>
      </c>
      <c r="K70" s="4"/>
      <c r="L70" s="12">
        <v>120000</v>
      </c>
      <c r="M70" s="13">
        <v>370000</v>
      </c>
      <c r="N70" s="9">
        <v>370000</v>
      </c>
      <c r="O70" s="43">
        <v>180000</v>
      </c>
      <c r="P70" s="39">
        <v>128683.48</v>
      </c>
      <c r="Q70" s="38">
        <v>180000</v>
      </c>
    </row>
    <row r="71" spans="1:17" x14ac:dyDescent="0.25">
      <c r="A71" s="3" t="s">
        <v>983</v>
      </c>
      <c r="B71" s="3" t="s">
        <v>11</v>
      </c>
      <c r="C71" s="3" t="s">
        <v>12</v>
      </c>
      <c r="D71" s="3" t="s">
        <v>153</v>
      </c>
      <c r="E71" s="3" t="s">
        <v>971</v>
      </c>
      <c r="F71" s="3" t="s">
        <v>15</v>
      </c>
      <c r="G71" s="3" t="s">
        <v>16</v>
      </c>
      <c r="H71" s="3" t="s">
        <v>725</v>
      </c>
      <c r="I71" s="4" t="s">
        <v>18</v>
      </c>
      <c r="J71" s="4">
        <v>3</v>
      </c>
      <c r="K71" s="4"/>
      <c r="L71" s="12">
        <v>303145.82</v>
      </c>
      <c r="M71" s="13">
        <v>308452</v>
      </c>
      <c r="N71" s="9">
        <v>308452</v>
      </c>
      <c r="O71" s="43">
        <f>'[6]6401SPORTS'!$I$26</f>
        <v>346263.68898599991</v>
      </c>
      <c r="P71" s="39">
        <v>49067.47</v>
      </c>
      <c r="Q71" s="38">
        <f>'[7]6115REV'!$I$26</f>
        <v>0</v>
      </c>
    </row>
    <row r="72" spans="1:17" x14ac:dyDescent="0.25">
      <c r="A72" s="3" t="s">
        <v>984</v>
      </c>
      <c r="B72" s="3" t="s">
        <v>11</v>
      </c>
      <c r="C72" s="3" t="s">
        <v>12</v>
      </c>
      <c r="D72" s="3" t="s">
        <v>155</v>
      </c>
      <c r="E72" s="3" t="s">
        <v>971</v>
      </c>
      <c r="F72" s="3" t="s">
        <v>15</v>
      </c>
      <c r="G72" s="3" t="s">
        <v>16</v>
      </c>
      <c r="H72" s="3" t="s">
        <v>725</v>
      </c>
      <c r="I72" s="4" t="s">
        <v>18</v>
      </c>
      <c r="J72" s="4">
        <v>3</v>
      </c>
      <c r="K72" s="4"/>
      <c r="L72" s="12">
        <v>245671</v>
      </c>
      <c r="M72" s="13">
        <v>245671</v>
      </c>
      <c r="N72" s="9">
        <v>245671</v>
      </c>
      <c r="O72" s="43">
        <f>'[6]6401SPORTS'!$J$26</f>
        <v>0</v>
      </c>
      <c r="P72" s="39">
        <v>0</v>
      </c>
      <c r="Q72" s="38">
        <v>0</v>
      </c>
    </row>
    <row r="73" spans="1:17" x14ac:dyDescent="0.25">
      <c r="A73" s="3" t="s">
        <v>980</v>
      </c>
      <c r="B73" s="3" t="s">
        <v>11</v>
      </c>
      <c r="C73" s="3" t="s">
        <v>12</v>
      </c>
      <c r="D73" s="3" t="s">
        <v>41</v>
      </c>
      <c r="E73" s="3" t="s">
        <v>971</v>
      </c>
      <c r="F73" s="3" t="s">
        <v>15</v>
      </c>
      <c r="G73" s="3" t="s">
        <v>16</v>
      </c>
      <c r="H73" s="3" t="s">
        <v>725</v>
      </c>
      <c r="I73" s="4" t="s">
        <v>18</v>
      </c>
      <c r="J73" s="4">
        <v>3</v>
      </c>
      <c r="K73" s="4"/>
      <c r="L73" s="12">
        <v>800304.98</v>
      </c>
      <c r="M73" s="13">
        <v>798320</v>
      </c>
      <c r="N73" s="9">
        <v>798320</v>
      </c>
      <c r="O73" s="43">
        <f>'[6]6401SPORTS'!$K$26</f>
        <v>914136.13892303989</v>
      </c>
      <c r="P73" s="39">
        <v>150724.14000000001</v>
      </c>
      <c r="Q73" s="57">
        <f>'[7]6115REV'!$K$26</f>
        <v>0</v>
      </c>
    </row>
    <row r="74" spans="1:17" x14ac:dyDescent="0.25">
      <c r="A74" s="3" t="s">
        <v>979</v>
      </c>
      <c r="B74" s="3" t="s">
        <v>11</v>
      </c>
      <c r="C74" s="3" t="s">
        <v>12</v>
      </c>
      <c r="D74" s="3" t="s">
        <v>36</v>
      </c>
      <c r="E74" s="3" t="s">
        <v>971</v>
      </c>
      <c r="F74" s="3" t="s">
        <v>15</v>
      </c>
      <c r="G74" s="3" t="s">
        <v>16</v>
      </c>
      <c r="H74" s="3" t="s">
        <v>725</v>
      </c>
      <c r="I74" s="4" t="s">
        <v>18</v>
      </c>
      <c r="J74" s="4">
        <v>3</v>
      </c>
      <c r="K74" s="4"/>
      <c r="L74" s="12">
        <v>56042</v>
      </c>
      <c r="M74" s="13">
        <v>76109</v>
      </c>
      <c r="N74" s="9">
        <v>76109</v>
      </c>
      <c r="O74" s="43">
        <f>'[6]6401SPORTS'!$L$26</f>
        <v>95918.399999999994</v>
      </c>
      <c r="P74" s="39">
        <v>26505</v>
      </c>
      <c r="Q74" s="38">
        <f>'[7]6115REV'!$L$26</f>
        <v>0</v>
      </c>
    </row>
    <row r="75" spans="1:17" x14ac:dyDescent="0.25">
      <c r="A75" s="3" t="s">
        <v>985</v>
      </c>
      <c r="B75" s="3" t="s">
        <v>11</v>
      </c>
      <c r="C75" s="3" t="s">
        <v>12</v>
      </c>
      <c r="D75" s="3" t="s">
        <v>47</v>
      </c>
      <c r="E75" s="3" t="s">
        <v>971</v>
      </c>
      <c r="F75" s="3" t="s">
        <v>15</v>
      </c>
      <c r="G75" s="3" t="s">
        <v>16</v>
      </c>
      <c r="H75" s="3" t="s">
        <v>725</v>
      </c>
      <c r="I75" s="4" t="s">
        <v>18</v>
      </c>
      <c r="J75" s="4">
        <v>3</v>
      </c>
      <c r="K75" s="4"/>
      <c r="L75" s="12">
        <v>272194</v>
      </c>
      <c r="M75" s="13">
        <v>365043</v>
      </c>
      <c r="N75" s="9">
        <v>365043</v>
      </c>
      <c r="O75" s="43">
        <f>'[6]6401SPORTS'!$M$26</f>
        <v>494903.87999999995</v>
      </c>
      <c r="P75" s="39">
        <v>72471.539999999994</v>
      </c>
      <c r="Q75" s="38">
        <f>'[7]6115REV'!$M$26</f>
        <v>0</v>
      </c>
    </row>
    <row r="76" spans="1:17" x14ac:dyDescent="0.25">
      <c r="A76" s="3" t="s">
        <v>989</v>
      </c>
      <c r="B76" s="3" t="s">
        <v>11</v>
      </c>
      <c r="C76" s="3" t="s">
        <v>12</v>
      </c>
      <c r="D76" s="3" t="s">
        <v>45</v>
      </c>
      <c r="E76" s="3" t="s">
        <v>788</v>
      </c>
      <c r="F76" s="3" t="s">
        <v>37</v>
      </c>
      <c r="G76" s="3" t="s">
        <v>16</v>
      </c>
      <c r="H76" s="3" t="s">
        <v>725</v>
      </c>
      <c r="I76" s="4" t="s">
        <v>38</v>
      </c>
      <c r="J76" s="4">
        <v>3</v>
      </c>
      <c r="K76" s="4"/>
      <c r="L76" s="12">
        <v>11200</v>
      </c>
      <c r="M76" s="13">
        <v>16100</v>
      </c>
      <c r="N76" s="9">
        <v>16100</v>
      </c>
      <c r="O76" s="43">
        <f>'[6]6401SPORTS'!$N$26</f>
        <v>28800</v>
      </c>
      <c r="P76" s="39">
        <v>1917</v>
      </c>
      <c r="Q76" s="38">
        <f>'[7]6115REV'!$N$26</f>
        <v>0</v>
      </c>
    </row>
    <row r="77" spans="1:17" x14ac:dyDescent="0.25">
      <c r="A77" s="3" t="s">
        <v>987</v>
      </c>
      <c r="B77" s="3" t="s">
        <v>11</v>
      </c>
      <c r="C77" s="3" t="s">
        <v>12</v>
      </c>
      <c r="D77" s="3" t="s">
        <v>156</v>
      </c>
      <c r="E77" s="3" t="s">
        <v>971</v>
      </c>
      <c r="F77" s="3" t="s">
        <v>15</v>
      </c>
      <c r="G77" s="3" t="s">
        <v>16</v>
      </c>
      <c r="H77" s="3" t="s">
        <v>725</v>
      </c>
      <c r="I77" s="4" t="s">
        <v>18</v>
      </c>
      <c r="J77" s="4">
        <v>3</v>
      </c>
      <c r="K77" s="4"/>
      <c r="L77" s="12">
        <v>9559</v>
      </c>
      <c r="M77" s="13">
        <v>10117</v>
      </c>
      <c r="N77" s="9">
        <v>10117</v>
      </c>
      <c r="O77" s="43">
        <f>'[6]6401SPORTS'!$P$26</f>
        <v>10893.24</v>
      </c>
      <c r="P77" s="39">
        <v>2723.31</v>
      </c>
      <c r="Q77" s="38">
        <f>'[7]6115REV'!$P$26</f>
        <v>0</v>
      </c>
    </row>
    <row r="78" spans="1:17" x14ac:dyDescent="0.25">
      <c r="A78" s="3" t="s">
        <v>978</v>
      </c>
      <c r="B78" s="3" t="s">
        <v>11</v>
      </c>
      <c r="C78" s="3" t="s">
        <v>12</v>
      </c>
      <c r="D78" s="3" t="s">
        <v>151</v>
      </c>
      <c r="E78" s="3" t="s">
        <v>971</v>
      </c>
      <c r="F78" s="3" t="s">
        <v>15</v>
      </c>
      <c r="G78" s="3" t="s">
        <v>16</v>
      </c>
      <c r="H78" s="3" t="s">
        <v>725</v>
      </c>
      <c r="I78" s="4" t="s">
        <v>18</v>
      </c>
      <c r="J78" s="4">
        <v>3</v>
      </c>
      <c r="K78" s="4"/>
      <c r="L78" s="12">
        <v>2376</v>
      </c>
      <c r="M78" s="13">
        <v>2421</v>
      </c>
      <c r="N78" s="9">
        <v>2421</v>
      </c>
      <c r="O78" s="43">
        <f>'[6]6401SPORTS'!$R$26</f>
        <v>2415</v>
      </c>
      <c r="P78" s="39">
        <v>475.32</v>
      </c>
      <c r="Q78" s="57">
        <f>'[7]6115REV'!$R$26</f>
        <v>0</v>
      </c>
    </row>
    <row r="79" spans="1:17" x14ac:dyDescent="0.25">
      <c r="A79" s="3" t="s">
        <v>977</v>
      </c>
      <c r="B79" s="3" t="s">
        <v>11</v>
      </c>
      <c r="C79" s="3" t="s">
        <v>12</v>
      </c>
      <c r="D79" s="3" t="s">
        <v>30</v>
      </c>
      <c r="E79" s="3" t="s">
        <v>971</v>
      </c>
      <c r="F79" s="3" t="s">
        <v>15</v>
      </c>
      <c r="G79" s="3" t="s">
        <v>16</v>
      </c>
      <c r="H79" s="3" t="s">
        <v>725</v>
      </c>
      <c r="I79" s="4" t="s">
        <v>18</v>
      </c>
      <c r="J79" s="4">
        <v>3</v>
      </c>
      <c r="K79" s="4"/>
      <c r="L79" s="12">
        <v>36377.5</v>
      </c>
      <c r="M79" s="13">
        <v>40659.83</v>
      </c>
      <c r="N79" s="9">
        <v>40659.83</v>
      </c>
      <c r="O79" s="43">
        <f>'[6]6401SPORTS'!$Q$26</f>
        <v>41551.642678319993</v>
      </c>
      <c r="P79" s="39">
        <v>9353.24</v>
      </c>
      <c r="Q79" s="57">
        <f>'[7]6115REV'!$Q$26</f>
        <v>0</v>
      </c>
    </row>
    <row r="80" spans="1:17" x14ac:dyDescent="0.25">
      <c r="A80" s="3" t="s">
        <v>981</v>
      </c>
      <c r="B80" s="3" t="s">
        <v>11</v>
      </c>
      <c r="C80" s="3" t="s">
        <v>12</v>
      </c>
      <c r="D80" s="3" t="s">
        <v>43</v>
      </c>
      <c r="E80" s="3" t="s">
        <v>971</v>
      </c>
      <c r="F80" s="3" t="s">
        <v>15</v>
      </c>
      <c r="G80" s="3" t="s">
        <v>16</v>
      </c>
      <c r="H80" s="3" t="s">
        <v>725</v>
      </c>
      <c r="I80" s="4" t="s">
        <v>18</v>
      </c>
      <c r="J80" s="4">
        <v>3</v>
      </c>
      <c r="K80" s="4"/>
      <c r="L80" s="12">
        <v>32145.79</v>
      </c>
      <c r="M80" s="13">
        <v>37816</v>
      </c>
      <c r="N80" s="9">
        <v>37816</v>
      </c>
      <c r="O80" s="43">
        <f>'[6]6401SPORTS'!$T$26</f>
        <v>32863.629892799996</v>
      </c>
      <c r="P80" s="39">
        <v>7577.32</v>
      </c>
      <c r="Q80" s="57">
        <f>'[7]6115REV'!$T$26</f>
        <v>0</v>
      </c>
    </row>
    <row r="81" spans="1:17" x14ac:dyDescent="0.25">
      <c r="A81" s="3" t="s">
        <v>1199</v>
      </c>
      <c r="B81" s="3" t="s">
        <v>162</v>
      </c>
      <c r="C81" s="3" t="s">
        <v>12</v>
      </c>
      <c r="D81" s="3" t="s">
        <v>162</v>
      </c>
      <c r="E81" s="3" t="s">
        <v>971</v>
      </c>
      <c r="F81" s="1"/>
      <c r="G81" s="1"/>
      <c r="H81" s="1"/>
      <c r="I81" s="1"/>
      <c r="J81" s="1"/>
      <c r="K81" s="1"/>
      <c r="L81" s="2">
        <v>0</v>
      </c>
      <c r="M81" s="13">
        <v>46882</v>
      </c>
      <c r="N81" s="9">
        <v>46882</v>
      </c>
      <c r="O81" s="54">
        <v>0</v>
      </c>
      <c r="P81" s="39"/>
      <c r="Q81" s="38">
        <v>0</v>
      </c>
    </row>
    <row r="82" spans="1:17" x14ac:dyDescent="0.25">
      <c r="A82" s="3" t="s">
        <v>966</v>
      </c>
      <c r="B82" s="3" t="s">
        <v>11</v>
      </c>
      <c r="C82" s="3" t="s">
        <v>12</v>
      </c>
      <c r="D82" s="3" t="s">
        <v>157</v>
      </c>
      <c r="E82" s="3" t="s">
        <v>947</v>
      </c>
      <c r="F82" s="3" t="s">
        <v>15</v>
      </c>
      <c r="G82" s="3" t="s">
        <v>16</v>
      </c>
      <c r="H82" s="3" t="s">
        <v>948</v>
      </c>
      <c r="I82" s="4" t="s">
        <v>18</v>
      </c>
      <c r="J82" s="4">
        <v>3</v>
      </c>
      <c r="K82" s="4"/>
      <c r="L82" s="12">
        <v>845316</v>
      </c>
      <c r="M82" s="13">
        <v>339001</v>
      </c>
      <c r="N82" s="9">
        <v>339001</v>
      </c>
      <c r="O82" s="43">
        <f>'[6]6353DISA'!$E$5</f>
        <v>906188.77619999996</v>
      </c>
      <c r="P82" s="39">
        <v>91146.18</v>
      </c>
      <c r="Q82" s="57">
        <f>'[7]6115REV'!$E$5</f>
        <v>141011.21849999999</v>
      </c>
    </row>
    <row r="83" spans="1:17" x14ac:dyDescent="0.25">
      <c r="A83" s="3" t="s">
        <v>960</v>
      </c>
      <c r="B83" s="3" t="s">
        <v>11</v>
      </c>
      <c r="C83" s="3" t="s">
        <v>12</v>
      </c>
      <c r="D83" s="3" t="s">
        <v>1630</v>
      </c>
      <c r="E83" s="3" t="s">
        <v>947</v>
      </c>
      <c r="F83" s="3" t="s">
        <v>15</v>
      </c>
      <c r="G83" s="3" t="s">
        <v>16</v>
      </c>
      <c r="H83" s="3" t="s">
        <v>948</v>
      </c>
      <c r="I83" s="4" t="s">
        <v>18</v>
      </c>
      <c r="J83" s="4">
        <v>3</v>
      </c>
      <c r="K83" s="4"/>
      <c r="L83" s="12">
        <v>20000</v>
      </c>
      <c r="M83" s="13">
        <v>50000</v>
      </c>
      <c r="N83" s="9">
        <v>50000</v>
      </c>
      <c r="O83" s="43">
        <v>25000</v>
      </c>
      <c r="P83" s="39">
        <v>9233.14</v>
      </c>
      <c r="Q83" s="38">
        <v>25000</v>
      </c>
    </row>
    <row r="84" spans="1:17" x14ac:dyDescent="0.25">
      <c r="A84" s="3" t="s">
        <v>962</v>
      </c>
      <c r="B84" s="3" t="s">
        <v>11</v>
      </c>
      <c r="C84" s="3" t="s">
        <v>12</v>
      </c>
      <c r="D84" s="3" t="s">
        <v>153</v>
      </c>
      <c r="E84" s="3" t="s">
        <v>947</v>
      </c>
      <c r="F84" s="3" t="s">
        <v>15</v>
      </c>
      <c r="G84" s="3" t="s">
        <v>16</v>
      </c>
      <c r="H84" s="3" t="s">
        <v>948</v>
      </c>
      <c r="I84" s="4" t="s">
        <v>18</v>
      </c>
      <c r="J84" s="4">
        <v>3</v>
      </c>
      <c r="K84" s="4"/>
      <c r="L84" s="12">
        <v>70443</v>
      </c>
      <c r="M84" s="13">
        <v>26661</v>
      </c>
      <c r="N84" s="9">
        <v>26661</v>
      </c>
      <c r="O84" s="43">
        <f>'[6]6353DISA'!$I$5</f>
        <v>75515.731349999987</v>
      </c>
      <c r="P84" s="39">
        <v>30382.06</v>
      </c>
      <c r="Q84" s="38">
        <f>'[7]6115REV'!$I$5</f>
        <v>28202.243699999999</v>
      </c>
    </row>
    <row r="85" spans="1:17" x14ac:dyDescent="0.25">
      <c r="A85" s="3" t="s">
        <v>958</v>
      </c>
      <c r="B85" s="3" t="s">
        <v>11</v>
      </c>
      <c r="C85" s="3" t="s">
        <v>12</v>
      </c>
      <c r="D85" s="3" t="s">
        <v>41</v>
      </c>
      <c r="E85" s="3" t="s">
        <v>947</v>
      </c>
      <c r="F85" s="3" t="s">
        <v>15</v>
      </c>
      <c r="G85" s="3" t="s">
        <v>16</v>
      </c>
      <c r="H85" s="3" t="s">
        <v>948</v>
      </c>
      <c r="I85" s="4" t="s">
        <v>18</v>
      </c>
      <c r="J85" s="4">
        <v>3</v>
      </c>
      <c r="K85" s="4"/>
      <c r="L85" s="12">
        <v>185969</v>
      </c>
      <c r="M85" s="13">
        <v>58997</v>
      </c>
      <c r="N85" s="9">
        <v>58997</v>
      </c>
      <c r="O85" s="43">
        <f>'[6]6353DISA'!$K$5</f>
        <v>199361.53076399997</v>
      </c>
      <c r="P85" s="39">
        <v>20052.150000000001</v>
      </c>
      <c r="Q85" s="57">
        <f>'[7]6115REV'!$K$5</f>
        <v>31022.468069999999</v>
      </c>
    </row>
    <row r="86" spans="1:17" x14ac:dyDescent="0.25">
      <c r="A86" s="3" t="s">
        <v>957</v>
      </c>
      <c r="B86" s="3" t="s">
        <v>11</v>
      </c>
      <c r="C86" s="3" t="s">
        <v>12</v>
      </c>
      <c r="D86" s="3" t="s">
        <v>36</v>
      </c>
      <c r="E86" s="3" t="s">
        <v>947</v>
      </c>
      <c r="F86" s="3" t="s">
        <v>15</v>
      </c>
      <c r="G86" s="3" t="s">
        <v>16</v>
      </c>
      <c r="H86" s="3" t="s">
        <v>948</v>
      </c>
      <c r="I86" s="4" t="s">
        <v>18</v>
      </c>
      <c r="J86" s="4">
        <v>3</v>
      </c>
      <c r="K86" s="4"/>
      <c r="L86" s="12">
        <v>33732</v>
      </c>
      <c r="M86" s="13">
        <v>43956</v>
      </c>
      <c r="N86" s="9">
        <v>43956</v>
      </c>
      <c r="O86" s="43">
        <f>'[6]6353DISA'!$L$5</f>
        <v>45230.399999999994</v>
      </c>
      <c r="P86" s="39">
        <v>11307.6</v>
      </c>
      <c r="Q86" s="38">
        <f>'[7]6115REV'!$L$5</f>
        <v>13035</v>
      </c>
    </row>
    <row r="87" spans="1:17" x14ac:dyDescent="0.25">
      <c r="A87" s="3" t="s">
        <v>965</v>
      </c>
      <c r="B87" s="3" t="s">
        <v>11</v>
      </c>
      <c r="C87" s="3" t="s">
        <v>12</v>
      </c>
      <c r="D87" s="3" t="s">
        <v>47</v>
      </c>
      <c r="E87" s="3" t="s">
        <v>947</v>
      </c>
      <c r="F87" s="3" t="s">
        <v>15</v>
      </c>
      <c r="G87" s="3" t="s">
        <v>16</v>
      </c>
      <c r="H87" s="3" t="s">
        <v>948</v>
      </c>
      <c r="I87" s="4" t="s">
        <v>18</v>
      </c>
      <c r="J87" s="4">
        <v>3</v>
      </c>
      <c r="K87" s="4"/>
      <c r="L87" s="12">
        <v>190809</v>
      </c>
      <c r="M87" s="13">
        <v>0</v>
      </c>
      <c r="N87" s="9">
        <v>0</v>
      </c>
      <c r="O87" s="43">
        <f>'[6]6353DISA'!$M$5</f>
        <v>203593.68</v>
      </c>
      <c r="P87" s="39">
        <v>0</v>
      </c>
      <c r="Q87" s="57">
        <f>'[7]6115REV'!$M$5</f>
        <v>0</v>
      </c>
    </row>
    <row r="88" spans="1:17" x14ac:dyDescent="0.25">
      <c r="A88" s="3" t="s">
        <v>967</v>
      </c>
      <c r="B88" s="3" t="s">
        <v>11</v>
      </c>
      <c r="C88" s="3" t="s">
        <v>12</v>
      </c>
      <c r="D88" s="3" t="s">
        <v>45</v>
      </c>
      <c r="E88" s="3" t="s">
        <v>947</v>
      </c>
      <c r="F88" s="3" t="s">
        <v>37</v>
      </c>
      <c r="G88" s="3" t="s">
        <v>16</v>
      </c>
      <c r="H88" s="3" t="s">
        <v>948</v>
      </c>
      <c r="I88" s="4" t="s">
        <v>38</v>
      </c>
      <c r="J88" s="4">
        <v>3</v>
      </c>
      <c r="K88" s="4"/>
      <c r="L88" s="12">
        <v>12800</v>
      </c>
      <c r="M88" s="13">
        <v>5000</v>
      </c>
      <c r="N88" s="9">
        <v>5000</v>
      </c>
      <c r="O88" s="43">
        <f>'[6]6353DISA'!$N$5</f>
        <v>19200</v>
      </c>
      <c r="P88" s="39">
        <v>1917</v>
      </c>
      <c r="Q88" s="57">
        <f>'[7]6115REV'!$N$5</f>
        <v>0</v>
      </c>
    </row>
    <row r="89" spans="1:17" x14ac:dyDescent="0.25">
      <c r="A89" s="31" t="s">
        <v>1763</v>
      </c>
      <c r="B89" s="3"/>
      <c r="C89" s="3"/>
      <c r="D89" s="3" t="s">
        <v>156</v>
      </c>
      <c r="E89" s="3"/>
      <c r="F89" s="3"/>
      <c r="G89" s="3"/>
      <c r="H89" s="3"/>
      <c r="I89" s="4"/>
      <c r="J89" s="4"/>
      <c r="K89" s="4"/>
      <c r="L89" s="12">
        <v>0</v>
      </c>
      <c r="M89" s="13">
        <v>0</v>
      </c>
      <c r="N89" s="9">
        <v>0</v>
      </c>
      <c r="O89" s="43">
        <f>'[6]6353DISA'!$P$5</f>
        <v>0</v>
      </c>
      <c r="P89" s="39"/>
      <c r="Q89" s="57">
        <v>0</v>
      </c>
    </row>
    <row r="90" spans="1:17" x14ac:dyDescent="0.25">
      <c r="A90" s="3" t="s">
        <v>956</v>
      </c>
      <c r="B90" s="3" t="s">
        <v>11</v>
      </c>
      <c r="C90" s="3" t="s">
        <v>12</v>
      </c>
      <c r="D90" s="3" t="s">
        <v>151</v>
      </c>
      <c r="E90" s="3" t="s">
        <v>947</v>
      </c>
      <c r="F90" s="3" t="s">
        <v>15</v>
      </c>
      <c r="G90" s="3" t="s">
        <v>16</v>
      </c>
      <c r="H90" s="3" t="s">
        <v>948</v>
      </c>
      <c r="I90" s="4" t="s">
        <v>18</v>
      </c>
      <c r="J90" s="4">
        <v>3</v>
      </c>
      <c r="K90" s="4"/>
      <c r="L90" s="12">
        <v>198</v>
      </c>
      <c r="M90" s="13">
        <v>105</v>
      </c>
      <c r="N90" s="9">
        <v>105</v>
      </c>
      <c r="O90" s="43">
        <f>'[6]6353DISA'!$R$5</f>
        <v>210</v>
      </c>
      <c r="P90" s="39">
        <v>27.96</v>
      </c>
      <c r="Q90" s="57">
        <f>'[7]6115REV'!$R$5</f>
        <v>43.75</v>
      </c>
    </row>
    <row r="91" spans="1:17" x14ac:dyDescent="0.25">
      <c r="A91" s="3" t="s">
        <v>955</v>
      </c>
      <c r="B91" s="3" t="s">
        <v>11</v>
      </c>
      <c r="C91" s="3" t="s">
        <v>12</v>
      </c>
      <c r="D91" s="3" t="s">
        <v>30</v>
      </c>
      <c r="E91" s="3" t="s">
        <v>947</v>
      </c>
      <c r="F91" s="3" t="s">
        <v>15</v>
      </c>
      <c r="G91" s="3" t="s">
        <v>16</v>
      </c>
      <c r="H91" s="3" t="s">
        <v>948</v>
      </c>
      <c r="I91" s="4" t="s">
        <v>18</v>
      </c>
      <c r="J91" s="4">
        <v>3</v>
      </c>
      <c r="K91" s="4"/>
      <c r="L91" s="12">
        <v>8453</v>
      </c>
      <c r="M91" s="13">
        <v>4207</v>
      </c>
      <c r="N91" s="9">
        <v>4207</v>
      </c>
      <c r="O91" s="43">
        <f>'[6]6353DISA'!$Q$5</f>
        <v>9061.8877619999985</v>
      </c>
      <c r="P91" s="39">
        <v>1493.64</v>
      </c>
      <c r="Q91" s="57">
        <f>'[7]6115REV'!$Q$5</f>
        <v>1410.112185</v>
      </c>
    </row>
    <row r="92" spans="1:17" x14ac:dyDescent="0.25">
      <c r="A92" s="3" t="s">
        <v>961</v>
      </c>
      <c r="B92" s="3" t="s">
        <v>11</v>
      </c>
      <c r="C92" s="3" t="s">
        <v>12</v>
      </c>
      <c r="D92" s="3" t="s">
        <v>193</v>
      </c>
      <c r="E92" s="3" t="s">
        <v>947</v>
      </c>
      <c r="F92" s="3" t="s">
        <v>15</v>
      </c>
      <c r="G92" s="3" t="s">
        <v>16</v>
      </c>
      <c r="H92" s="3" t="s">
        <v>948</v>
      </c>
      <c r="I92" s="4" t="s">
        <v>18</v>
      </c>
      <c r="J92" s="4">
        <v>3</v>
      </c>
      <c r="K92" s="4"/>
      <c r="L92" s="12">
        <v>42772</v>
      </c>
      <c r="M92" s="13">
        <v>43770</v>
      </c>
      <c r="N92" s="9">
        <v>43770</v>
      </c>
      <c r="O92" s="43">
        <f>'[6]6353DISA'!$S$5</f>
        <v>42772.32</v>
      </c>
      <c r="P92" s="39">
        <v>12185.31</v>
      </c>
      <c r="Q92" s="38">
        <f>'[7]6115REV'!$S$5</f>
        <v>0</v>
      </c>
    </row>
    <row r="93" spans="1:17" x14ac:dyDescent="0.25">
      <c r="A93" s="3" t="s">
        <v>963</v>
      </c>
      <c r="B93" s="3" t="s">
        <v>11</v>
      </c>
      <c r="C93" s="3" t="s">
        <v>12</v>
      </c>
      <c r="D93" s="3" t="s">
        <v>155</v>
      </c>
      <c r="E93" s="3" t="s">
        <v>947</v>
      </c>
      <c r="F93" s="3" t="s">
        <v>37</v>
      </c>
      <c r="G93" s="3" t="s">
        <v>16</v>
      </c>
      <c r="H93" s="3" t="s">
        <v>948</v>
      </c>
      <c r="I93" s="4" t="s">
        <v>38</v>
      </c>
      <c r="J93" s="4">
        <v>1</v>
      </c>
      <c r="K93" s="4"/>
      <c r="L93" s="12">
        <v>0</v>
      </c>
      <c r="M93" s="13">
        <v>0</v>
      </c>
      <c r="N93" s="9">
        <v>0</v>
      </c>
      <c r="O93" s="43"/>
      <c r="P93" s="39"/>
      <c r="Q93" s="38"/>
    </row>
    <row r="94" spans="1:17" x14ac:dyDescent="0.25">
      <c r="A94" s="3" t="s">
        <v>964</v>
      </c>
      <c r="B94" s="3" t="s">
        <v>11</v>
      </c>
      <c r="C94" s="3" t="s">
        <v>12</v>
      </c>
      <c r="D94" s="3" t="s">
        <v>156</v>
      </c>
      <c r="E94" s="3" t="s">
        <v>947</v>
      </c>
      <c r="F94" s="3" t="s">
        <v>37</v>
      </c>
      <c r="G94" s="3" t="s">
        <v>16</v>
      </c>
      <c r="H94" s="3" t="s">
        <v>948</v>
      </c>
      <c r="I94" s="4" t="s">
        <v>38</v>
      </c>
      <c r="J94" s="4">
        <v>1</v>
      </c>
      <c r="K94" s="4"/>
      <c r="L94" s="12">
        <v>0</v>
      </c>
      <c r="M94" s="13">
        <v>0</v>
      </c>
      <c r="N94" s="9">
        <v>0</v>
      </c>
      <c r="O94" s="43"/>
      <c r="P94" s="39"/>
      <c r="Q94" s="38"/>
    </row>
    <row r="95" spans="1:17" x14ac:dyDescent="0.25">
      <c r="A95" s="3" t="s">
        <v>959</v>
      </c>
      <c r="B95" s="3" t="s">
        <v>11</v>
      </c>
      <c r="C95" s="3" t="s">
        <v>12</v>
      </c>
      <c r="D95" s="3" t="s">
        <v>43</v>
      </c>
      <c r="E95" s="3" t="s">
        <v>947</v>
      </c>
      <c r="F95" s="3" t="s">
        <v>15</v>
      </c>
      <c r="G95" s="3" t="s">
        <v>16</v>
      </c>
      <c r="H95" s="3" t="s">
        <v>948</v>
      </c>
      <c r="I95" s="4" t="s">
        <v>18</v>
      </c>
      <c r="J95" s="4">
        <v>3</v>
      </c>
      <c r="K95" s="4"/>
      <c r="L95" s="12">
        <v>2995</v>
      </c>
      <c r="M95" s="13">
        <v>2390</v>
      </c>
      <c r="N95" s="9">
        <v>2390</v>
      </c>
      <c r="O95" s="43">
        <f>'[6]6353DISA'!$T$5</f>
        <v>2994.72</v>
      </c>
      <c r="P95" s="39">
        <v>446.16</v>
      </c>
      <c r="Q95" s="38">
        <f>'[7]6115REV'!$T$5</f>
        <v>1410.112185</v>
      </c>
    </row>
    <row r="96" spans="1:17" x14ac:dyDescent="0.25">
      <c r="A96" s="3" t="s">
        <v>929</v>
      </c>
      <c r="B96" s="3" t="s">
        <v>11</v>
      </c>
      <c r="C96" s="3" t="s">
        <v>12</v>
      </c>
      <c r="D96" s="3" t="s">
        <v>157</v>
      </c>
      <c r="E96" s="3" t="s">
        <v>918</v>
      </c>
      <c r="F96" s="3" t="s">
        <v>15</v>
      </c>
      <c r="G96" s="3" t="s">
        <v>16</v>
      </c>
      <c r="H96" s="3" t="s">
        <v>919</v>
      </c>
      <c r="I96" s="4" t="s">
        <v>18</v>
      </c>
      <c r="J96" s="4">
        <v>3</v>
      </c>
      <c r="K96" s="4"/>
      <c r="L96" s="12">
        <v>7137228</v>
      </c>
      <c r="M96" s="13">
        <v>6797799</v>
      </c>
      <c r="N96" s="9">
        <v>6797799</v>
      </c>
      <c r="O96" s="43">
        <f>'[6]6351SEC'!$E$49</f>
        <v>7617940.6249800026</v>
      </c>
      <c r="P96" s="39">
        <v>1791956.41</v>
      </c>
      <c r="Q96" s="57">
        <f>'[7]6115REV'!$E$49</f>
        <v>0</v>
      </c>
    </row>
    <row r="97" spans="1:17" x14ac:dyDescent="0.25">
      <c r="A97" s="3" t="s">
        <v>1187</v>
      </c>
      <c r="B97" s="3" t="s">
        <v>11</v>
      </c>
      <c r="C97" s="3" t="s">
        <v>12</v>
      </c>
      <c r="D97" s="3" t="s">
        <v>930</v>
      </c>
      <c r="E97" s="3" t="s">
        <v>918</v>
      </c>
      <c r="F97" s="3" t="s">
        <v>15</v>
      </c>
      <c r="G97" s="3" t="s">
        <v>16</v>
      </c>
      <c r="H97" s="3" t="s">
        <v>919</v>
      </c>
      <c r="I97" s="4" t="s">
        <v>18</v>
      </c>
      <c r="J97" s="4">
        <v>3</v>
      </c>
      <c r="K97" s="4"/>
      <c r="L97" s="12">
        <v>281824</v>
      </c>
      <c r="M97" s="13">
        <v>274146</v>
      </c>
      <c r="N97" s="9">
        <v>274146</v>
      </c>
      <c r="O97" s="43">
        <f>'[6]6351SEC'!$Q$49</f>
        <v>301552.08</v>
      </c>
      <c r="P97" s="39">
        <v>71561.399999999994</v>
      </c>
      <c r="Q97" s="57">
        <f>'[7]6115REV'!$Q$49</f>
        <v>0</v>
      </c>
    </row>
    <row r="98" spans="1:17" x14ac:dyDescent="0.25">
      <c r="A98" s="3" t="s">
        <v>924</v>
      </c>
      <c r="B98" s="3" t="s">
        <v>11</v>
      </c>
      <c r="C98" s="3" t="s">
        <v>12</v>
      </c>
      <c r="D98" s="3" t="s">
        <v>1630</v>
      </c>
      <c r="E98" s="3" t="s">
        <v>918</v>
      </c>
      <c r="F98" s="3" t="s">
        <v>15</v>
      </c>
      <c r="G98" s="3" t="s">
        <v>16</v>
      </c>
      <c r="H98" s="3" t="s">
        <v>919</v>
      </c>
      <c r="I98" s="4" t="s">
        <v>18</v>
      </c>
      <c r="J98" s="4">
        <v>3</v>
      </c>
      <c r="K98" s="4"/>
      <c r="L98" s="12">
        <v>1350000</v>
      </c>
      <c r="M98" s="13">
        <v>1400000</v>
      </c>
      <c r="N98" s="9">
        <v>1400000</v>
      </c>
      <c r="O98" s="43">
        <v>1000000</v>
      </c>
      <c r="P98" s="39">
        <v>250996.71</v>
      </c>
      <c r="Q98" s="38">
        <v>1000000</v>
      </c>
    </row>
    <row r="99" spans="1:17" x14ac:dyDescent="0.25">
      <c r="A99" s="3" t="s">
        <v>925</v>
      </c>
      <c r="B99" s="3" t="s">
        <v>11</v>
      </c>
      <c r="C99" s="3" t="s">
        <v>12</v>
      </c>
      <c r="D99" s="3" t="s">
        <v>153</v>
      </c>
      <c r="E99" s="3" t="s">
        <v>918</v>
      </c>
      <c r="F99" s="3" t="s">
        <v>15</v>
      </c>
      <c r="G99" s="3" t="s">
        <v>16</v>
      </c>
      <c r="H99" s="3" t="s">
        <v>919</v>
      </c>
      <c r="I99" s="4" t="s">
        <v>18</v>
      </c>
      <c r="J99" s="4">
        <v>3</v>
      </c>
      <c r="K99" s="4"/>
      <c r="L99" s="12">
        <v>594769</v>
      </c>
      <c r="M99" s="13">
        <v>583421</v>
      </c>
      <c r="N99" s="9">
        <v>583421</v>
      </c>
      <c r="O99" s="43">
        <f>'[6]6351SEC'!$I$49</f>
        <v>634828.38541499956</v>
      </c>
      <c r="P99" s="39">
        <v>119144.11</v>
      </c>
      <c r="Q99" s="38">
        <f>'[7]6115REV'!$I$49</f>
        <v>0</v>
      </c>
    </row>
    <row r="100" spans="1:17" x14ac:dyDescent="0.25">
      <c r="A100" s="3" t="s">
        <v>926</v>
      </c>
      <c r="B100" s="3" t="s">
        <v>11</v>
      </c>
      <c r="C100" s="3" t="s">
        <v>12</v>
      </c>
      <c r="D100" s="3" t="s">
        <v>155</v>
      </c>
      <c r="E100" s="3" t="s">
        <v>918</v>
      </c>
      <c r="F100" s="3" t="s">
        <v>15</v>
      </c>
      <c r="G100" s="3" t="s">
        <v>16</v>
      </c>
      <c r="H100" s="3" t="s">
        <v>919</v>
      </c>
      <c r="I100" s="4" t="s">
        <v>18</v>
      </c>
      <c r="J100" s="4">
        <v>3</v>
      </c>
      <c r="K100" s="4"/>
      <c r="L100" s="12">
        <v>112979</v>
      </c>
      <c r="M100" s="13">
        <v>116908</v>
      </c>
      <c r="N100" s="9">
        <v>116908</v>
      </c>
      <c r="O100" s="43">
        <f>'[8]6351SEC'!$J$49</f>
        <v>0</v>
      </c>
      <c r="P100" s="39">
        <v>20784.8</v>
      </c>
      <c r="Q100" s="57">
        <v>22000</v>
      </c>
    </row>
    <row r="101" spans="1:17" x14ac:dyDescent="0.25">
      <c r="A101" s="3" t="s">
        <v>922</v>
      </c>
      <c r="B101" s="3" t="s">
        <v>11</v>
      </c>
      <c r="C101" s="3" t="s">
        <v>12</v>
      </c>
      <c r="D101" s="3" t="s">
        <v>41</v>
      </c>
      <c r="E101" s="3" t="s">
        <v>918</v>
      </c>
      <c r="F101" s="3" t="s">
        <v>15</v>
      </c>
      <c r="G101" s="3" t="s">
        <v>16</v>
      </c>
      <c r="H101" s="3" t="s">
        <v>919</v>
      </c>
      <c r="I101" s="4" t="s">
        <v>18</v>
      </c>
      <c r="J101" s="4">
        <v>3</v>
      </c>
      <c r="K101" s="4"/>
      <c r="L101" s="12">
        <v>1570190</v>
      </c>
      <c r="M101" s="13">
        <v>1451710</v>
      </c>
      <c r="N101" s="9">
        <v>1451710</v>
      </c>
      <c r="O101" s="43">
        <f>'[6]6351SEC'!$K$49</f>
        <v>1675946.9374955995</v>
      </c>
      <c r="P101" s="39">
        <v>370964.04</v>
      </c>
      <c r="Q101" s="57">
        <f>'[7]6115REV'!$K$49</f>
        <v>0</v>
      </c>
    </row>
    <row r="102" spans="1:17" x14ac:dyDescent="0.25">
      <c r="A102" s="3" t="s">
        <v>921</v>
      </c>
      <c r="B102" s="3" t="s">
        <v>11</v>
      </c>
      <c r="C102" s="3" t="s">
        <v>12</v>
      </c>
      <c r="D102" s="3" t="s">
        <v>36</v>
      </c>
      <c r="E102" s="3" t="s">
        <v>918</v>
      </c>
      <c r="F102" s="3" t="s">
        <v>15</v>
      </c>
      <c r="G102" s="3" t="s">
        <v>16</v>
      </c>
      <c r="H102" s="3" t="s">
        <v>919</v>
      </c>
      <c r="I102" s="4" t="s">
        <v>18</v>
      </c>
      <c r="J102" s="4">
        <v>3</v>
      </c>
      <c r="K102" s="4"/>
      <c r="L102" s="12">
        <v>261535</v>
      </c>
      <c r="M102" s="13">
        <v>276625</v>
      </c>
      <c r="N102" s="9">
        <v>276625</v>
      </c>
      <c r="O102" s="43">
        <f>'[6]6351SEC'!$L$49</f>
        <v>290116.8</v>
      </c>
      <c r="P102" s="39">
        <v>77169.600000000006</v>
      </c>
      <c r="Q102" s="38">
        <f>'[7]6115REV'!$L$49</f>
        <v>0</v>
      </c>
    </row>
    <row r="103" spans="1:17" x14ac:dyDescent="0.25">
      <c r="A103" s="3" t="s">
        <v>928</v>
      </c>
      <c r="B103" s="3" t="s">
        <v>11</v>
      </c>
      <c r="C103" s="3" t="s">
        <v>12</v>
      </c>
      <c r="D103" s="3" t="s">
        <v>47</v>
      </c>
      <c r="E103" s="3" t="s">
        <v>918</v>
      </c>
      <c r="F103" s="3" t="s">
        <v>15</v>
      </c>
      <c r="G103" s="3" t="s">
        <v>16</v>
      </c>
      <c r="H103" s="3" t="s">
        <v>919</v>
      </c>
      <c r="I103" s="4" t="s">
        <v>18</v>
      </c>
      <c r="J103" s="4">
        <v>3</v>
      </c>
      <c r="K103" s="4"/>
      <c r="L103" s="12">
        <v>154388</v>
      </c>
      <c r="M103" s="13">
        <v>154345</v>
      </c>
      <c r="N103" s="9">
        <v>154345</v>
      </c>
      <c r="O103" s="43">
        <f>'[8]6351SEC'!$M$49</f>
        <v>166501.44</v>
      </c>
      <c r="P103" s="39">
        <v>41547.33</v>
      </c>
      <c r="Q103" s="38">
        <f>'[7]6115REV'!$M$49</f>
        <v>0</v>
      </c>
    </row>
    <row r="104" spans="1:17" x14ac:dyDescent="0.25">
      <c r="A104" s="3" t="s">
        <v>943</v>
      </c>
      <c r="B104" s="3" t="s">
        <v>11</v>
      </c>
      <c r="C104" s="3" t="s">
        <v>12</v>
      </c>
      <c r="D104" s="3" t="s">
        <v>45</v>
      </c>
      <c r="E104" s="3" t="s">
        <v>918</v>
      </c>
      <c r="F104" s="3" t="s">
        <v>37</v>
      </c>
      <c r="G104" s="3" t="s">
        <v>16</v>
      </c>
      <c r="H104" s="3" t="s">
        <v>919</v>
      </c>
      <c r="I104" s="4" t="s">
        <v>38</v>
      </c>
      <c r="J104" s="4">
        <v>3</v>
      </c>
      <c r="K104" s="4"/>
      <c r="L104" s="12">
        <v>6400</v>
      </c>
      <c r="M104" s="13">
        <v>7000</v>
      </c>
      <c r="N104" s="9">
        <v>7000</v>
      </c>
      <c r="O104" s="43">
        <f>'[8]6351SEC'!$N$49</f>
        <v>9600</v>
      </c>
      <c r="P104" s="39">
        <v>2556</v>
      </c>
      <c r="Q104" s="38">
        <f>'[7]6115REV'!$N$49</f>
        <v>0</v>
      </c>
    </row>
    <row r="105" spans="1:17" x14ac:dyDescent="0.25">
      <c r="A105" s="3" t="s">
        <v>927</v>
      </c>
      <c r="B105" s="3" t="s">
        <v>11</v>
      </c>
      <c r="C105" s="3" t="s">
        <v>12</v>
      </c>
      <c r="D105" s="3" t="s">
        <v>156</v>
      </c>
      <c r="E105" s="3" t="s">
        <v>918</v>
      </c>
      <c r="F105" s="3" t="s">
        <v>15</v>
      </c>
      <c r="G105" s="3" t="s">
        <v>16</v>
      </c>
      <c r="H105" s="3" t="s">
        <v>919</v>
      </c>
      <c r="I105" s="4" t="s">
        <v>18</v>
      </c>
      <c r="J105" s="4">
        <v>3</v>
      </c>
      <c r="K105" s="4"/>
      <c r="L105" s="12">
        <v>9559</v>
      </c>
      <c r="M105" s="13">
        <v>10117</v>
      </c>
      <c r="N105" s="9">
        <v>10117</v>
      </c>
      <c r="O105" s="43">
        <f>'[6]6351SEC'!$P$49</f>
        <v>10893.24</v>
      </c>
      <c r="P105" s="39">
        <v>2723.31</v>
      </c>
      <c r="Q105" s="38">
        <f>'[7]6115REV'!$P$49</f>
        <v>0</v>
      </c>
    </row>
    <row r="106" spans="1:17" x14ac:dyDescent="0.25">
      <c r="A106" s="3" t="s">
        <v>920</v>
      </c>
      <c r="B106" s="3" t="s">
        <v>11</v>
      </c>
      <c r="C106" s="3" t="s">
        <v>12</v>
      </c>
      <c r="D106" s="3" t="s">
        <v>151</v>
      </c>
      <c r="E106" s="3" t="s">
        <v>918</v>
      </c>
      <c r="F106" s="3" t="s">
        <v>15</v>
      </c>
      <c r="G106" s="3" t="s">
        <v>16</v>
      </c>
      <c r="H106" s="3" t="s">
        <v>919</v>
      </c>
      <c r="I106" s="4" t="s">
        <v>18</v>
      </c>
      <c r="J106" s="4">
        <v>3</v>
      </c>
      <c r="K106" s="4"/>
      <c r="L106" s="12">
        <v>4554</v>
      </c>
      <c r="M106" s="13">
        <v>4589</v>
      </c>
      <c r="N106" s="9">
        <v>4589</v>
      </c>
      <c r="O106" s="43">
        <f>'[8]6351SEC'!$S$49</f>
        <v>4830</v>
      </c>
      <c r="P106" s="39">
        <v>1202.28</v>
      </c>
      <c r="Q106" s="57">
        <f>'[7]6115REV'!$S$49</f>
        <v>0</v>
      </c>
    </row>
    <row r="107" spans="1:17" x14ac:dyDescent="0.25">
      <c r="A107" s="3" t="s">
        <v>917</v>
      </c>
      <c r="B107" s="3" t="s">
        <v>11</v>
      </c>
      <c r="C107" s="3" t="s">
        <v>12</v>
      </c>
      <c r="D107" s="3" t="s">
        <v>30</v>
      </c>
      <c r="E107" s="3" t="s">
        <v>918</v>
      </c>
      <c r="F107" s="3" t="s">
        <v>15</v>
      </c>
      <c r="G107" s="3" t="s">
        <v>16</v>
      </c>
      <c r="H107" s="3" t="s">
        <v>919</v>
      </c>
      <c r="I107" s="4" t="s">
        <v>18</v>
      </c>
      <c r="J107" s="4">
        <v>3</v>
      </c>
      <c r="K107" s="4"/>
      <c r="L107" s="12">
        <v>71372</v>
      </c>
      <c r="M107" s="13">
        <v>78436</v>
      </c>
      <c r="N107" s="9">
        <v>78436</v>
      </c>
      <c r="O107" s="43">
        <f>'[6]6351SEC'!$R$49</f>
        <v>76179.406249799955</v>
      </c>
      <c r="P107" s="39">
        <v>22370.11</v>
      </c>
      <c r="Q107" s="57">
        <f>'[7]6115REV'!$R$49</f>
        <v>0</v>
      </c>
    </row>
    <row r="108" spans="1:17" x14ac:dyDescent="0.25">
      <c r="A108" s="3" t="s">
        <v>923</v>
      </c>
      <c r="B108" s="3" t="s">
        <v>11</v>
      </c>
      <c r="C108" s="3" t="s">
        <v>12</v>
      </c>
      <c r="D108" s="3" t="s">
        <v>43</v>
      </c>
      <c r="E108" s="3" t="s">
        <v>918</v>
      </c>
      <c r="F108" s="3" t="s">
        <v>15</v>
      </c>
      <c r="G108" s="3" t="s">
        <v>16</v>
      </c>
      <c r="H108" s="3" t="s">
        <v>919</v>
      </c>
      <c r="I108" s="4" t="s">
        <v>18</v>
      </c>
      <c r="J108" s="4">
        <v>3</v>
      </c>
      <c r="K108" s="4"/>
      <c r="L108" s="12">
        <v>67490</v>
      </c>
      <c r="M108" s="13">
        <v>72897</v>
      </c>
      <c r="N108" s="9">
        <v>72897</v>
      </c>
      <c r="O108" s="43">
        <f>'[6]6351SEC'!$U$49</f>
        <v>68878.560000000012</v>
      </c>
      <c r="P108" s="39">
        <v>19157.87</v>
      </c>
      <c r="Q108" s="57">
        <f>'[7]6115REV'!$U$49</f>
        <v>0</v>
      </c>
    </row>
    <row r="109" spans="1:17" x14ac:dyDescent="0.25">
      <c r="A109" s="3" t="s">
        <v>945</v>
      </c>
      <c r="B109" s="3" t="s">
        <v>11</v>
      </c>
      <c r="C109" s="3" t="s">
        <v>12</v>
      </c>
      <c r="D109" s="3" t="s">
        <v>162</v>
      </c>
      <c r="E109" s="3" t="s">
        <v>918</v>
      </c>
      <c r="F109" s="3" t="s">
        <v>37</v>
      </c>
      <c r="G109" s="3" t="s">
        <v>16</v>
      </c>
      <c r="H109" s="3" t="s">
        <v>919</v>
      </c>
      <c r="I109" s="4" t="s">
        <v>38</v>
      </c>
      <c r="J109" s="4">
        <v>1</v>
      </c>
      <c r="K109" s="4"/>
      <c r="L109" s="12">
        <v>0</v>
      </c>
      <c r="M109" s="13">
        <v>26896</v>
      </c>
      <c r="N109" s="9">
        <v>26896</v>
      </c>
      <c r="O109" s="39">
        <v>0</v>
      </c>
      <c r="P109" s="39">
        <v>0</v>
      </c>
      <c r="Q109" s="38">
        <v>0</v>
      </c>
    </row>
    <row r="110" spans="1:17" x14ac:dyDescent="0.25">
      <c r="A110" s="3" t="s">
        <v>914</v>
      </c>
      <c r="B110" s="3" t="s">
        <v>11</v>
      </c>
      <c r="C110" s="3" t="s">
        <v>12</v>
      </c>
      <c r="D110" s="3" t="s">
        <v>157</v>
      </c>
      <c r="E110" s="3" t="s">
        <v>678</v>
      </c>
      <c r="F110" s="3" t="s">
        <v>15</v>
      </c>
      <c r="G110" s="3" t="s">
        <v>16</v>
      </c>
      <c r="H110" s="3" t="s">
        <v>898</v>
      </c>
      <c r="I110" s="4" t="s">
        <v>18</v>
      </c>
      <c r="J110" s="4">
        <v>3</v>
      </c>
      <c r="K110" s="4"/>
      <c r="L110" s="12">
        <v>604229</v>
      </c>
      <c r="M110" s="13">
        <v>606075</v>
      </c>
      <c r="N110" s="9">
        <v>606075</v>
      </c>
      <c r="O110" s="43">
        <f>'[6]6301HOUS'!$E$5</f>
        <v>652262.23540799995</v>
      </c>
      <c r="P110" s="39">
        <v>163065.54</v>
      </c>
      <c r="Q110" s="38">
        <f>'[7]6115REV'!$E$5</f>
        <v>141011.21849999999</v>
      </c>
    </row>
    <row r="111" spans="1:17" x14ac:dyDescent="0.25">
      <c r="A111" s="3" t="s">
        <v>910</v>
      </c>
      <c r="B111" s="3" t="s">
        <v>11</v>
      </c>
      <c r="C111" s="3" t="s">
        <v>12</v>
      </c>
      <c r="D111" s="3" t="s">
        <v>1630</v>
      </c>
      <c r="E111" s="3" t="s">
        <v>678</v>
      </c>
      <c r="F111" s="3" t="s">
        <v>15</v>
      </c>
      <c r="G111" s="3" t="s">
        <v>16</v>
      </c>
      <c r="H111" s="3" t="s">
        <v>898</v>
      </c>
      <c r="I111" s="4" t="s">
        <v>18</v>
      </c>
      <c r="J111" s="4">
        <v>3</v>
      </c>
      <c r="K111" s="4"/>
      <c r="L111" s="12">
        <v>12000</v>
      </c>
      <c r="M111" s="13">
        <v>15000</v>
      </c>
      <c r="N111" s="9">
        <v>15000</v>
      </c>
      <c r="O111" s="43">
        <v>7500</v>
      </c>
      <c r="P111" s="39">
        <v>0</v>
      </c>
      <c r="Q111" s="38">
        <v>7500</v>
      </c>
    </row>
    <row r="112" spans="1:17" x14ac:dyDescent="0.25">
      <c r="A112" s="3" t="s">
        <v>911</v>
      </c>
      <c r="B112" s="3" t="s">
        <v>11</v>
      </c>
      <c r="C112" s="3" t="s">
        <v>12</v>
      </c>
      <c r="D112" s="3" t="s">
        <v>153</v>
      </c>
      <c r="E112" s="3" t="s">
        <v>678</v>
      </c>
      <c r="F112" s="3" t="s">
        <v>15</v>
      </c>
      <c r="G112" s="3" t="s">
        <v>16</v>
      </c>
      <c r="H112" s="3" t="s">
        <v>898</v>
      </c>
      <c r="I112" s="4" t="s">
        <v>18</v>
      </c>
      <c r="J112" s="4">
        <v>3</v>
      </c>
      <c r="K112" s="4"/>
      <c r="L112" s="12">
        <v>50352</v>
      </c>
      <c r="M112" s="13">
        <v>51038</v>
      </c>
      <c r="N112" s="9">
        <v>51038</v>
      </c>
      <c r="O112" s="43">
        <f>'[6]6301HOUS'!$I$5</f>
        <v>54355.186283999996</v>
      </c>
      <c r="P112" s="39">
        <v>0</v>
      </c>
      <c r="Q112" s="38">
        <f>'[7]6115REV'!$I$5</f>
        <v>28202.243699999999</v>
      </c>
    </row>
    <row r="113" spans="1:17" x14ac:dyDescent="0.25">
      <c r="A113" s="51" t="s">
        <v>1768</v>
      </c>
      <c r="B113" s="3"/>
      <c r="C113" s="3"/>
      <c r="D113" s="3" t="s">
        <v>155</v>
      </c>
      <c r="E113" s="3"/>
      <c r="F113" s="3"/>
      <c r="G113" s="3"/>
      <c r="H113" s="3"/>
      <c r="I113" s="4"/>
      <c r="J113" s="4"/>
      <c r="K113" s="4"/>
      <c r="L113" s="12"/>
      <c r="M113" s="13"/>
      <c r="N113" s="9"/>
      <c r="O113" s="43">
        <f>'[8]6301HOUS'!$J$5</f>
        <v>54082.87</v>
      </c>
      <c r="P113" s="39">
        <v>0</v>
      </c>
      <c r="Q113" s="38">
        <f>'[7]6115REV'!$J$5</f>
        <v>0</v>
      </c>
    </row>
    <row r="114" spans="1:17" x14ac:dyDescent="0.25">
      <c r="A114" s="3" t="s">
        <v>908</v>
      </c>
      <c r="B114" s="3" t="s">
        <v>11</v>
      </c>
      <c r="C114" s="3" t="s">
        <v>12</v>
      </c>
      <c r="D114" s="3" t="s">
        <v>41</v>
      </c>
      <c r="E114" s="3" t="s">
        <v>678</v>
      </c>
      <c r="F114" s="3" t="s">
        <v>15</v>
      </c>
      <c r="G114" s="3" t="s">
        <v>16</v>
      </c>
      <c r="H114" s="3" t="s">
        <v>898</v>
      </c>
      <c r="I114" s="4" t="s">
        <v>18</v>
      </c>
      <c r="J114" s="4">
        <v>3</v>
      </c>
      <c r="K114" s="4"/>
      <c r="L114" s="12">
        <v>132930</v>
      </c>
      <c r="M114" s="13">
        <v>133270</v>
      </c>
      <c r="N114" s="9">
        <v>133270</v>
      </c>
      <c r="O114" s="43">
        <f>'[6]6301HOUS'!$K$5</f>
        <v>143497.69178975999</v>
      </c>
      <c r="P114" s="39">
        <v>35874.42</v>
      </c>
      <c r="Q114" s="38">
        <f>'[7]6115REV'!$K$5</f>
        <v>31022.468069999999</v>
      </c>
    </row>
    <row r="115" spans="1:17" x14ac:dyDescent="0.25">
      <c r="A115" s="3" t="s">
        <v>907</v>
      </c>
      <c r="B115" s="3" t="s">
        <v>11</v>
      </c>
      <c r="C115" s="3" t="s">
        <v>12</v>
      </c>
      <c r="D115" s="3" t="s">
        <v>36</v>
      </c>
      <c r="E115" s="3" t="s">
        <v>678</v>
      </c>
      <c r="F115" s="3" t="s">
        <v>15</v>
      </c>
      <c r="G115" s="3" t="s">
        <v>16</v>
      </c>
      <c r="H115" s="3" t="s">
        <v>898</v>
      </c>
      <c r="I115" s="4" t="s">
        <v>18</v>
      </c>
      <c r="J115" s="4">
        <v>3</v>
      </c>
      <c r="K115" s="4"/>
      <c r="L115" s="12">
        <v>66288</v>
      </c>
      <c r="M115" s="13">
        <v>67177</v>
      </c>
      <c r="N115" s="9">
        <v>67177</v>
      </c>
      <c r="O115" s="39">
        <f>'[8]6301HOUS'!$L$5</f>
        <v>68066.399999999994</v>
      </c>
      <c r="P115" s="39">
        <v>17579.55</v>
      </c>
      <c r="Q115" s="38">
        <f>'[7]6115REV'!$L$5</f>
        <v>13035</v>
      </c>
    </row>
    <row r="116" spans="1:17" x14ac:dyDescent="0.25">
      <c r="A116" s="3" t="s">
        <v>913</v>
      </c>
      <c r="B116" s="3" t="s">
        <v>11</v>
      </c>
      <c r="C116" s="3" t="s">
        <v>12</v>
      </c>
      <c r="D116" s="3" t="s">
        <v>47</v>
      </c>
      <c r="E116" s="3" t="s">
        <v>678</v>
      </c>
      <c r="F116" s="3" t="s">
        <v>15</v>
      </c>
      <c r="G116" s="3" t="s">
        <v>16</v>
      </c>
      <c r="H116" s="3" t="s">
        <v>898</v>
      </c>
      <c r="I116" s="4" t="s">
        <v>18</v>
      </c>
      <c r="J116" s="4">
        <v>3</v>
      </c>
      <c r="K116" s="4"/>
      <c r="L116" s="12">
        <v>156046</v>
      </c>
      <c r="M116" s="13">
        <v>154345</v>
      </c>
      <c r="N116" s="9">
        <v>154345</v>
      </c>
      <c r="O116" s="39">
        <f>'[8]6301HOUS'!$M$5</f>
        <v>166501.44</v>
      </c>
      <c r="P116" s="39">
        <v>41547.33</v>
      </c>
      <c r="Q116" s="38">
        <f>'[7]6115REV'!$M$5</f>
        <v>0</v>
      </c>
    </row>
    <row r="117" spans="1:17" x14ac:dyDescent="0.25">
      <c r="A117" s="3" t="s">
        <v>916</v>
      </c>
      <c r="B117" s="3" t="s">
        <v>11</v>
      </c>
      <c r="C117" s="3" t="s">
        <v>12</v>
      </c>
      <c r="D117" s="3" t="s">
        <v>45</v>
      </c>
      <c r="E117" s="3" t="s">
        <v>678</v>
      </c>
      <c r="F117" s="3" t="s">
        <v>37</v>
      </c>
      <c r="G117" s="3" t="s">
        <v>16</v>
      </c>
      <c r="H117" s="3" t="s">
        <v>898</v>
      </c>
      <c r="I117" s="4" t="s">
        <v>38</v>
      </c>
      <c r="J117" s="4">
        <v>3</v>
      </c>
      <c r="K117" s="4"/>
      <c r="L117" s="12">
        <v>11200</v>
      </c>
      <c r="M117" s="13">
        <v>12300</v>
      </c>
      <c r="N117" s="9">
        <v>12300</v>
      </c>
      <c r="O117" s="39">
        <f>'[8]6301HOUS'!$N$5</f>
        <v>16800</v>
      </c>
      <c r="P117" s="39">
        <v>4473</v>
      </c>
      <c r="Q117" s="38">
        <f>'[7]6115REV'!$N$5</f>
        <v>0</v>
      </c>
    </row>
    <row r="118" spans="1:17" x14ac:dyDescent="0.25">
      <c r="A118" s="3" t="s">
        <v>906</v>
      </c>
      <c r="B118" s="3" t="s">
        <v>11</v>
      </c>
      <c r="C118" s="3" t="s">
        <v>12</v>
      </c>
      <c r="D118" s="3" t="s">
        <v>151</v>
      </c>
      <c r="E118" s="3" t="s">
        <v>678</v>
      </c>
      <c r="F118" s="3" t="s">
        <v>15</v>
      </c>
      <c r="G118" s="3" t="s">
        <v>16</v>
      </c>
      <c r="H118" s="3" t="s">
        <v>898</v>
      </c>
      <c r="I118" s="4" t="s">
        <v>18</v>
      </c>
      <c r="J118" s="4">
        <v>3</v>
      </c>
      <c r="K118" s="4"/>
      <c r="L118" s="12">
        <v>198</v>
      </c>
      <c r="M118" s="13">
        <v>209</v>
      </c>
      <c r="N118" s="9">
        <v>209</v>
      </c>
      <c r="O118" s="39">
        <f>'[8]6301HOUS'!$R$5</f>
        <v>210</v>
      </c>
      <c r="P118" s="39">
        <v>55.92</v>
      </c>
      <c r="Q118" s="38">
        <f>'[7]6115REV'!$R$5</f>
        <v>43.75</v>
      </c>
    </row>
    <row r="119" spans="1:17" x14ac:dyDescent="0.25">
      <c r="A119" s="3" t="s">
        <v>905</v>
      </c>
      <c r="B119" s="3" t="s">
        <v>11</v>
      </c>
      <c r="C119" s="3" t="s">
        <v>12</v>
      </c>
      <c r="D119" s="3" t="s">
        <v>30</v>
      </c>
      <c r="E119" s="3" t="s">
        <v>678</v>
      </c>
      <c r="F119" s="3" t="s">
        <v>15</v>
      </c>
      <c r="G119" s="3" t="s">
        <v>16</v>
      </c>
      <c r="H119" s="3" t="s">
        <v>898</v>
      </c>
      <c r="I119" s="4" t="s">
        <v>18</v>
      </c>
      <c r="J119" s="4">
        <v>3</v>
      </c>
      <c r="K119" s="4"/>
      <c r="L119" s="12">
        <v>6042</v>
      </c>
      <c r="M119" s="13">
        <v>6863</v>
      </c>
      <c r="N119" s="9">
        <v>6863</v>
      </c>
      <c r="O119" s="43">
        <f>'[6]6301HOUS'!$Q$5</f>
        <v>6522.6223540800002</v>
      </c>
      <c r="P119" s="39">
        <v>2065.41</v>
      </c>
      <c r="Q119" s="38">
        <f>'[7]6115REV'!$Q$5</f>
        <v>1410.112185</v>
      </c>
    </row>
    <row r="120" spans="1:17" x14ac:dyDescent="0.25">
      <c r="A120" s="3" t="s">
        <v>912</v>
      </c>
      <c r="B120" s="3" t="s">
        <v>11</v>
      </c>
      <c r="C120" s="3" t="s">
        <v>12</v>
      </c>
      <c r="D120" s="3" t="s">
        <v>156</v>
      </c>
      <c r="E120" s="3" t="s">
        <v>678</v>
      </c>
      <c r="F120" s="3" t="s">
        <v>37</v>
      </c>
      <c r="G120" s="3" t="s">
        <v>16</v>
      </c>
      <c r="H120" s="3" t="s">
        <v>898</v>
      </c>
      <c r="I120" s="4" t="s">
        <v>38</v>
      </c>
      <c r="J120" s="4">
        <v>1</v>
      </c>
      <c r="K120" s="4"/>
      <c r="L120" s="12">
        <v>0</v>
      </c>
      <c r="M120" s="13">
        <v>0</v>
      </c>
      <c r="N120" s="9">
        <v>0</v>
      </c>
      <c r="O120" s="43">
        <f>'[8]6301HOUS'!$P$5</f>
        <v>0</v>
      </c>
      <c r="P120" s="39"/>
      <c r="Q120" s="38">
        <v>0</v>
      </c>
    </row>
    <row r="121" spans="1:17" x14ac:dyDescent="0.25">
      <c r="A121" s="3" t="s">
        <v>909</v>
      </c>
      <c r="B121" s="3" t="s">
        <v>11</v>
      </c>
      <c r="C121" s="3" t="s">
        <v>12</v>
      </c>
      <c r="D121" s="3" t="s">
        <v>43</v>
      </c>
      <c r="E121" s="3" t="s">
        <v>678</v>
      </c>
      <c r="F121" s="3" t="s">
        <v>15</v>
      </c>
      <c r="G121" s="3" t="s">
        <v>16</v>
      </c>
      <c r="H121" s="3" t="s">
        <v>898</v>
      </c>
      <c r="I121" s="4" t="s">
        <v>18</v>
      </c>
      <c r="J121" s="4">
        <v>3</v>
      </c>
      <c r="K121" s="4"/>
      <c r="L121" s="12">
        <v>2995</v>
      </c>
      <c r="M121" s="13">
        <v>4258</v>
      </c>
      <c r="N121" s="9">
        <v>4258</v>
      </c>
      <c r="O121" s="43">
        <f>'[6]6301HOUS'!$T$5</f>
        <v>2994.72</v>
      </c>
      <c r="P121" s="39">
        <v>892.32</v>
      </c>
      <c r="Q121" s="38">
        <f>'[7]6115REV'!$T$5</f>
        <v>1410.112185</v>
      </c>
    </row>
    <row r="122" spans="1:17" x14ac:dyDescent="0.25">
      <c r="A122" s="3" t="s">
        <v>876</v>
      </c>
      <c r="B122" s="3" t="s">
        <v>11</v>
      </c>
      <c r="C122" s="3" t="s">
        <v>12</v>
      </c>
      <c r="D122" s="3" t="s">
        <v>157</v>
      </c>
      <c r="E122" s="3" t="s">
        <v>721</v>
      </c>
      <c r="F122" s="3" t="s">
        <v>15</v>
      </c>
      <c r="G122" s="3" t="s">
        <v>16</v>
      </c>
      <c r="H122" s="3" t="s">
        <v>722</v>
      </c>
      <c r="I122" s="4" t="s">
        <v>18</v>
      </c>
      <c r="J122" s="4">
        <v>3</v>
      </c>
      <c r="K122" s="4"/>
      <c r="L122" s="12">
        <v>340087</v>
      </c>
      <c r="M122" s="13">
        <v>338694</v>
      </c>
      <c r="N122" s="9">
        <v>338694</v>
      </c>
      <c r="O122" s="43">
        <f>'[6]6273COMM'!$E$4</f>
        <v>364577.69012400002</v>
      </c>
      <c r="P122" s="39">
        <v>121144.44</v>
      </c>
      <c r="Q122" s="38">
        <f>'[7]6115REV'!$E$4</f>
        <v>60154.554749999988</v>
      </c>
    </row>
    <row r="123" spans="1:17" x14ac:dyDescent="0.25">
      <c r="A123" s="3" t="s">
        <v>878</v>
      </c>
      <c r="B123" s="3" t="s">
        <v>11</v>
      </c>
      <c r="C123" s="3" t="s">
        <v>12</v>
      </c>
      <c r="D123" s="3" t="s">
        <v>1630</v>
      </c>
      <c r="E123" s="3" t="s">
        <v>721</v>
      </c>
      <c r="F123" s="3" t="s">
        <v>15</v>
      </c>
      <c r="G123" s="3" t="s">
        <v>16</v>
      </c>
      <c r="H123" s="3" t="s">
        <v>722</v>
      </c>
      <c r="I123" s="4" t="s">
        <v>18</v>
      </c>
      <c r="J123" s="4">
        <v>3</v>
      </c>
      <c r="K123" s="4"/>
      <c r="L123" s="12">
        <v>70000</v>
      </c>
      <c r="M123" s="13">
        <v>46247</v>
      </c>
      <c r="N123" s="9">
        <v>46247</v>
      </c>
      <c r="O123" s="43">
        <v>25000</v>
      </c>
      <c r="P123" s="39">
        <v>15997.5</v>
      </c>
      <c r="Q123" s="38">
        <v>25000</v>
      </c>
    </row>
    <row r="124" spans="1:17" x14ac:dyDescent="0.25">
      <c r="A124" s="3" t="s">
        <v>877</v>
      </c>
      <c r="B124" s="3" t="s">
        <v>11</v>
      </c>
      <c r="C124" s="3" t="s">
        <v>12</v>
      </c>
      <c r="D124" s="3" t="s">
        <v>153</v>
      </c>
      <c r="E124" s="3" t="s">
        <v>721</v>
      </c>
      <c r="F124" s="3" t="s">
        <v>15</v>
      </c>
      <c r="G124" s="3" t="s">
        <v>16</v>
      </c>
      <c r="H124" s="3" t="s">
        <v>722</v>
      </c>
      <c r="I124" s="4" t="s">
        <v>18</v>
      </c>
      <c r="J124" s="4">
        <v>3</v>
      </c>
      <c r="K124" s="4"/>
      <c r="L124" s="12">
        <v>28341</v>
      </c>
      <c r="M124" s="13">
        <v>28527</v>
      </c>
      <c r="N124" s="9">
        <v>28527</v>
      </c>
      <c r="O124" s="43">
        <f>'[6]6273COMM'!$I$4</f>
        <v>30381.474177</v>
      </c>
      <c r="P124" s="39">
        <v>30381.48</v>
      </c>
      <c r="Q124" s="38">
        <f>'[7]6115REV'!$I$4</f>
        <v>12030.910949999998</v>
      </c>
    </row>
    <row r="125" spans="1:17" x14ac:dyDescent="0.25">
      <c r="A125" s="3" t="s">
        <v>880</v>
      </c>
      <c r="B125" s="3" t="s">
        <v>11</v>
      </c>
      <c r="C125" s="3" t="s">
        <v>12</v>
      </c>
      <c r="D125" s="3" t="s">
        <v>41</v>
      </c>
      <c r="E125" s="3" t="s">
        <v>721</v>
      </c>
      <c r="F125" s="3" t="s">
        <v>15</v>
      </c>
      <c r="G125" s="3" t="s">
        <v>16</v>
      </c>
      <c r="H125" s="3" t="s">
        <v>722</v>
      </c>
      <c r="I125" s="4" t="s">
        <v>18</v>
      </c>
      <c r="J125" s="4">
        <v>3</v>
      </c>
      <c r="K125" s="4"/>
      <c r="L125" s="12">
        <v>74819</v>
      </c>
      <c r="M125" s="13">
        <v>67793</v>
      </c>
      <c r="N125" s="9">
        <v>67793</v>
      </c>
      <c r="O125" s="43">
        <f>'[6]6273COMM'!$K$4</f>
        <v>80207.091827280005</v>
      </c>
      <c r="P125" s="39">
        <v>16406.009999999998</v>
      </c>
      <c r="Q125" s="38">
        <f>'[7]6115REV'!$K$4</f>
        <v>13234.002044999997</v>
      </c>
    </row>
    <row r="126" spans="1:17" x14ac:dyDescent="0.25">
      <c r="A126" s="3" t="s">
        <v>1811</v>
      </c>
      <c r="B126" s="3"/>
      <c r="C126" s="3"/>
      <c r="D126" s="3" t="s">
        <v>36</v>
      </c>
      <c r="E126" s="3"/>
      <c r="F126" s="3"/>
      <c r="G126" s="3"/>
      <c r="H126" s="3"/>
      <c r="I126" s="4"/>
      <c r="J126" s="4"/>
      <c r="K126" s="4"/>
      <c r="L126" s="12"/>
      <c r="M126" s="13"/>
      <c r="N126" s="9"/>
      <c r="O126" s="43">
        <v>0</v>
      </c>
      <c r="P126" s="39">
        <v>8485.2000000000007</v>
      </c>
      <c r="Q126" s="57">
        <f>'[7]6115REV'!$L$4</f>
        <v>0</v>
      </c>
    </row>
    <row r="127" spans="1:17" x14ac:dyDescent="0.25">
      <c r="A127" s="3" t="s">
        <v>896</v>
      </c>
      <c r="B127" s="3" t="s">
        <v>11</v>
      </c>
      <c r="C127" s="3" t="s">
        <v>12</v>
      </c>
      <c r="D127" s="3" t="s">
        <v>45</v>
      </c>
      <c r="E127" s="3" t="s">
        <v>721</v>
      </c>
      <c r="F127" s="3" t="s">
        <v>37</v>
      </c>
      <c r="G127" s="3" t="s">
        <v>16</v>
      </c>
      <c r="H127" s="3" t="s">
        <v>722</v>
      </c>
      <c r="I127" s="4" t="s">
        <v>38</v>
      </c>
      <c r="J127" s="4">
        <v>3</v>
      </c>
      <c r="K127" s="4"/>
      <c r="L127" s="12">
        <v>4800</v>
      </c>
      <c r="M127" s="13">
        <v>5300</v>
      </c>
      <c r="N127" s="9">
        <v>5300</v>
      </c>
      <c r="O127" s="43">
        <f>'[8]6273COMM'!$N$4</f>
        <v>7200</v>
      </c>
      <c r="P127" s="39">
        <v>1917</v>
      </c>
      <c r="Q127" s="38">
        <f>'[7]6115REV'!$N$4</f>
        <v>0</v>
      </c>
    </row>
    <row r="128" spans="1:17" x14ac:dyDescent="0.25">
      <c r="A128" s="3" t="s">
        <v>882</v>
      </c>
      <c r="B128" s="3" t="s">
        <v>11</v>
      </c>
      <c r="C128" s="3" t="s">
        <v>12</v>
      </c>
      <c r="D128" s="3" t="s">
        <v>151</v>
      </c>
      <c r="E128" s="3" t="s">
        <v>721</v>
      </c>
      <c r="F128" s="3" t="s">
        <v>15</v>
      </c>
      <c r="G128" s="3" t="s">
        <v>16</v>
      </c>
      <c r="H128" s="3" t="s">
        <v>722</v>
      </c>
      <c r="I128" s="4" t="s">
        <v>18</v>
      </c>
      <c r="J128" s="4">
        <v>3</v>
      </c>
      <c r="K128" s="4"/>
      <c r="L128" s="12">
        <v>99</v>
      </c>
      <c r="M128" s="13">
        <v>105</v>
      </c>
      <c r="N128" s="9">
        <v>105</v>
      </c>
      <c r="O128" s="43">
        <f>'[8]6273COMM'!$R$4</f>
        <v>105</v>
      </c>
      <c r="P128" s="39">
        <v>27.96</v>
      </c>
      <c r="Q128" s="38">
        <f>'[7]6115REV'!$R$4</f>
        <v>43.75</v>
      </c>
    </row>
    <row r="129" spans="1:17" x14ac:dyDescent="0.25">
      <c r="A129" s="3" t="s">
        <v>884</v>
      </c>
      <c r="B129" s="3" t="s">
        <v>11</v>
      </c>
      <c r="C129" s="3" t="s">
        <v>12</v>
      </c>
      <c r="D129" s="3" t="s">
        <v>30</v>
      </c>
      <c r="E129" s="3" t="s">
        <v>721</v>
      </c>
      <c r="F129" s="3" t="s">
        <v>15</v>
      </c>
      <c r="G129" s="3" t="s">
        <v>16</v>
      </c>
      <c r="H129" s="3" t="s">
        <v>722</v>
      </c>
      <c r="I129" s="4" t="s">
        <v>18</v>
      </c>
      <c r="J129" s="4">
        <v>3</v>
      </c>
      <c r="K129" s="4"/>
      <c r="L129" s="12">
        <v>3401</v>
      </c>
      <c r="M129" s="13">
        <v>4026</v>
      </c>
      <c r="N129" s="9">
        <v>4026</v>
      </c>
      <c r="O129" s="43">
        <f>'[6]6273COMM'!$Q$4</f>
        <v>3645.7769012400004</v>
      </c>
      <c r="P129" s="39">
        <v>1711.18</v>
      </c>
      <c r="Q129" s="38">
        <f>'[7]6115REV'!$Q$4</f>
        <v>601.54554749999988</v>
      </c>
    </row>
    <row r="130" spans="1:17" x14ac:dyDescent="0.25">
      <c r="A130" s="3" t="s">
        <v>881</v>
      </c>
      <c r="B130" s="3" t="s">
        <v>11</v>
      </c>
      <c r="C130" s="3" t="s">
        <v>12</v>
      </c>
      <c r="D130" s="3" t="s">
        <v>36</v>
      </c>
      <c r="E130" s="3" t="s">
        <v>721</v>
      </c>
      <c r="F130" s="3" t="s">
        <v>37</v>
      </c>
      <c r="G130" s="3" t="s">
        <v>16</v>
      </c>
      <c r="H130" s="3" t="s">
        <v>722</v>
      </c>
      <c r="I130" s="4" t="s">
        <v>38</v>
      </c>
      <c r="J130" s="4">
        <v>1</v>
      </c>
      <c r="K130" s="4"/>
      <c r="L130" s="12">
        <v>0</v>
      </c>
      <c r="M130" s="13">
        <v>0</v>
      </c>
      <c r="N130" s="9">
        <v>0</v>
      </c>
      <c r="O130" s="43">
        <f>'[8]6273COMM'!$L$4</f>
        <v>0</v>
      </c>
      <c r="P130" s="39"/>
      <c r="Q130" s="38">
        <v>0</v>
      </c>
    </row>
    <row r="131" spans="1:17" x14ac:dyDescent="0.25">
      <c r="A131" s="3" t="s">
        <v>879</v>
      </c>
      <c r="B131" s="3" t="s">
        <v>11</v>
      </c>
      <c r="C131" s="3" t="s">
        <v>12</v>
      </c>
      <c r="D131" s="3" t="s">
        <v>43</v>
      </c>
      <c r="E131" s="3" t="s">
        <v>721</v>
      </c>
      <c r="F131" s="3" t="s">
        <v>15</v>
      </c>
      <c r="G131" s="3" t="s">
        <v>16</v>
      </c>
      <c r="H131" s="3" t="s">
        <v>722</v>
      </c>
      <c r="I131" s="4" t="s">
        <v>18</v>
      </c>
      <c r="J131" s="4">
        <v>3</v>
      </c>
      <c r="K131" s="4"/>
      <c r="L131" s="12">
        <v>1497</v>
      </c>
      <c r="M131" s="13">
        <v>2390</v>
      </c>
      <c r="N131" s="9">
        <v>2390</v>
      </c>
      <c r="O131" s="43">
        <f>'[6]6273COMM'!$T$4</f>
        <v>1497.36</v>
      </c>
      <c r="P131" s="39">
        <v>446.16</v>
      </c>
      <c r="Q131" s="38" t="e">
        <f>'[7]6115REV'!$T$4</f>
        <v>#REF!</v>
      </c>
    </row>
    <row r="132" spans="1:17" x14ac:dyDescent="0.25">
      <c r="A132" s="3" t="s">
        <v>863</v>
      </c>
      <c r="B132" s="3" t="s">
        <v>11</v>
      </c>
      <c r="C132" s="3" t="s">
        <v>12</v>
      </c>
      <c r="D132" s="3" t="s">
        <v>157</v>
      </c>
      <c r="E132" s="3" t="s">
        <v>851</v>
      </c>
      <c r="F132" s="3" t="s">
        <v>15</v>
      </c>
      <c r="G132" s="3" t="s">
        <v>16</v>
      </c>
      <c r="H132" s="3" t="s">
        <v>852</v>
      </c>
      <c r="I132" s="4" t="s">
        <v>18</v>
      </c>
      <c r="J132" s="4">
        <v>3</v>
      </c>
      <c r="K132" s="4"/>
      <c r="L132" s="12">
        <v>2431864</v>
      </c>
      <c r="M132" s="13">
        <v>1867933</v>
      </c>
      <c r="N132" s="9">
        <v>1867933</v>
      </c>
      <c r="O132" s="43">
        <f>'[6]6267CEM'!$E$20</f>
        <v>2287302.3914400004</v>
      </c>
      <c r="P132" s="39">
        <v>355921.26</v>
      </c>
      <c r="Q132" s="57">
        <f>'[7]6115REV'!$E$20</f>
        <v>0</v>
      </c>
    </row>
    <row r="133" spans="1:17" x14ac:dyDescent="0.25">
      <c r="A133" s="3" t="s">
        <v>857</v>
      </c>
      <c r="B133" s="3" t="s">
        <v>11</v>
      </c>
      <c r="C133" s="3" t="s">
        <v>12</v>
      </c>
      <c r="D133" s="3" t="s">
        <v>1630</v>
      </c>
      <c r="E133" s="3" t="s">
        <v>851</v>
      </c>
      <c r="F133" s="3" t="s">
        <v>15</v>
      </c>
      <c r="G133" s="3" t="s">
        <v>16</v>
      </c>
      <c r="H133" s="3" t="s">
        <v>852</v>
      </c>
      <c r="I133" s="4" t="s">
        <v>18</v>
      </c>
      <c r="J133" s="4">
        <v>3</v>
      </c>
      <c r="K133" s="4"/>
      <c r="L133" s="12">
        <v>100000</v>
      </c>
      <c r="M133" s="13">
        <v>100000</v>
      </c>
      <c r="N133" s="9">
        <v>100000</v>
      </c>
      <c r="O133" s="43">
        <v>50000</v>
      </c>
      <c r="P133" s="39">
        <v>34281.120000000003</v>
      </c>
      <c r="Q133" s="38">
        <v>50000</v>
      </c>
    </row>
    <row r="134" spans="1:17" x14ac:dyDescent="0.25">
      <c r="A134" s="3" t="s">
        <v>858</v>
      </c>
      <c r="B134" s="3" t="s">
        <v>11</v>
      </c>
      <c r="C134" s="3" t="s">
        <v>12</v>
      </c>
      <c r="D134" s="3" t="s">
        <v>153</v>
      </c>
      <c r="E134" s="3" t="s">
        <v>851</v>
      </c>
      <c r="F134" s="3" t="s">
        <v>15</v>
      </c>
      <c r="G134" s="3" t="s">
        <v>16</v>
      </c>
      <c r="H134" s="3" t="s">
        <v>852</v>
      </c>
      <c r="I134" s="4" t="s">
        <v>18</v>
      </c>
      <c r="J134" s="4">
        <v>3</v>
      </c>
      <c r="K134" s="4"/>
      <c r="L134" s="12">
        <v>202655</v>
      </c>
      <c r="M134" s="13">
        <v>174300</v>
      </c>
      <c r="N134" s="9">
        <v>174300</v>
      </c>
      <c r="O134" s="43">
        <f>'[6]6267CEM'!$I$20</f>
        <v>190608.53261999995</v>
      </c>
      <c r="P134" s="39">
        <v>47343.65</v>
      </c>
      <c r="Q134" s="38">
        <f>'[7]6115REV'!$I$20</f>
        <v>0</v>
      </c>
    </row>
    <row r="135" spans="1:17" x14ac:dyDescent="0.25">
      <c r="A135" s="3" t="s">
        <v>859</v>
      </c>
      <c r="B135" s="3" t="s">
        <v>11</v>
      </c>
      <c r="C135" s="3" t="s">
        <v>12</v>
      </c>
      <c r="D135" s="3" t="s">
        <v>155</v>
      </c>
      <c r="E135" s="3" t="s">
        <v>851</v>
      </c>
      <c r="F135" s="3" t="s">
        <v>15</v>
      </c>
      <c r="G135" s="3" t="s">
        <v>16</v>
      </c>
      <c r="H135" s="3" t="s">
        <v>852</v>
      </c>
      <c r="I135" s="4" t="s">
        <v>18</v>
      </c>
      <c r="J135" s="4">
        <v>3</v>
      </c>
      <c r="K135" s="4"/>
      <c r="L135" s="12">
        <v>180602</v>
      </c>
      <c r="M135" s="13">
        <v>166602</v>
      </c>
      <c r="N135" s="9">
        <v>166602</v>
      </c>
      <c r="O135" s="43">
        <f>'[6]6267CEM'!$J$20</f>
        <v>0</v>
      </c>
      <c r="P135" s="39">
        <v>0</v>
      </c>
      <c r="Q135" s="38"/>
    </row>
    <row r="136" spans="1:17" x14ac:dyDescent="0.25">
      <c r="A136" s="3" t="s">
        <v>855</v>
      </c>
      <c r="B136" s="3" t="s">
        <v>11</v>
      </c>
      <c r="C136" s="3" t="s">
        <v>12</v>
      </c>
      <c r="D136" s="3" t="s">
        <v>41</v>
      </c>
      <c r="E136" s="3" t="s">
        <v>851</v>
      </c>
      <c r="F136" s="3" t="s">
        <v>15</v>
      </c>
      <c r="G136" s="3" t="s">
        <v>16</v>
      </c>
      <c r="H136" s="3" t="s">
        <v>852</v>
      </c>
      <c r="I136" s="4" t="s">
        <v>18</v>
      </c>
      <c r="J136" s="4">
        <v>3</v>
      </c>
      <c r="K136" s="4"/>
      <c r="L136" s="12">
        <v>535010</v>
      </c>
      <c r="M136" s="13">
        <v>406046</v>
      </c>
      <c r="N136" s="9">
        <v>406046</v>
      </c>
      <c r="O136" s="43">
        <f>'[6]6267CEM'!$K$20</f>
        <v>503206.52611679997</v>
      </c>
      <c r="P136" s="39">
        <v>75615.520000000004</v>
      </c>
      <c r="Q136" s="57">
        <f>'[7]6115REV'!$K$20</f>
        <v>0</v>
      </c>
    </row>
    <row r="137" spans="1:17" x14ac:dyDescent="0.25">
      <c r="A137" s="3" t="s">
        <v>854</v>
      </c>
      <c r="B137" s="3" t="s">
        <v>11</v>
      </c>
      <c r="C137" s="3" t="s">
        <v>12</v>
      </c>
      <c r="D137" s="3" t="s">
        <v>36</v>
      </c>
      <c r="E137" s="3" t="s">
        <v>851</v>
      </c>
      <c r="F137" s="3" t="s">
        <v>15</v>
      </c>
      <c r="G137" s="3" t="s">
        <v>16</v>
      </c>
      <c r="H137" s="3" t="s">
        <v>852</v>
      </c>
      <c r="I137" s="4" t="s">
        <v>18</v>
      </c>
      <c r="J137" s="4">
        <v>3</v>
      </c>
      <c r="K137" s="4"/>
      <c r="L137" s="12">
        <v>14947</v>
      </c>
      <c r="M137" s="13">
        <v>20563</v>
      </c>
      <c r="N137" s="9">
        <v>20563</v>
      </c>
      <c r="O137" s="43">
        <f>'[6]6267CEM'!$L$20</f>
        <v>16214.400000000001</v>
      </c>
      <c r="P137" s="39">
        <v>4053.6</v>
      </c>
      <c r="Q137" s="38">
        <f>'[7]6115REV'!$L$20</f>
        <v>0</v>
      </c>
    </row>
    <row r="138" spans="1:17" x14ac:dyDescent="0.25">
      <c r="A138" s="3" t="s">
        <v>862</v>
      </c>
      <c r="B138" s="3" t="s">
        <v>11</v>
      </c>
      <c r="C138" s="3" t="s">
        <v>12</v>
      </c>
      <c r="D138" s="3" t="s">
        <v>47</v>
      </c>
      <c r="E138" s="3" t="s">
        <v>851</v>
      </c>
      <c r="F138" s="3" t="s">
        <v>15</v>
      </c>
      <c r="G138" s="3" t="s">
        <v>16</v>
      </c>
      <c r="H138" s="3" t="s">
        <v>852</v>
      </c>
      <c r="I138" s="4" t="s">
        <v>18</v>
      </c>
      <c r="J138" s="4">
        <v>3</v>
      </c>
      <c r="K138" s="4"/>
      <c r="L138" s="12">
        <v>79424</v>
      </c>
      <c r="M138" s="13">
        <v>78558</v>
      </c>
      <c r="N138" s="9">
        <v>78558</v>
      </c>
      <c r="O138" s="43">
        <f>'[6]6267CEM'!$M$20</f>
        <v>0</v>
      </c>
      <c r="P138" s="39">
        <v>0</v>
      </c>
      <c r="Q138" s="38"/>
    </row>
    <row r="139" spans="1:17" x14ac:dyDescent="0.25">
      <c r="A139" s="3" t="s">
        <v>874</v>
      </c>
      <c r="B139" s="3" t="s">
        <v>11</v>
      </c>
      <c r="C139" s="3" t="s">
        <v>12</v>
      </c>
      <c r="D139" s="3" t="s">
        <v>45</v>
      </c>
      <c r="E139" s="3" t="s">
        <v>608</v>
      </c>
      <c r="F139" s="3" t="s">
        <v>37</v>
      </c>
      <c r="G139" s="3" t="s">
        <v>16</v>
      </c>
      <c r="H139" s="3" t="s">
        <v>861</v>
      </c>
      <c r="I139" s="4" t="s">
        <v>38</v>
      </c>
      <c r="J139" s="4">
        <v>3</v>
      </c>
      <c r="K139" s="4"/>
      <c r="L139" s="12">
        <v>4800</v>
      </c>
      <c r="M139" s="13">
        <v>5300</v>
      </c>
      <c r="N139" s="9">
        <v>5300</v>
      </c>
      <c r="O139" s="43">
        <f>'[6]6267CEM'!$N$20</f>
        <v>0</v>
      </c>
      <c r="P139" s="39">
        <v>0</v>
      </c>
      <c r="Q139" s="38"/>
    </row>
    <row r="140" spans="1:17" x14ac:dyDescent="0.25">
      <c r="A140" s="3" t="s">
        <v>853</v>
      </c>
      <c r="B140" s="3" t="s">
        <v>11</v>
      </c>
      <c r="C140" s="3" t="s">
        <v>12</v>
      </c>
      <c r="D140" s="3" t="s">
        <v>151</v>
      </c>
      <c r="E140" s="3" t="s">
        <v>851</v>
      </c>
      <c r="F140" s="3" t="s">
        <v>15</v>
      </c>
      <c r="G140" s="3" t="s">
        <v>16</v>
      </c>
      <c r="H140" s="3" t="s">
        <v>852</v>
      </c>
      <c r="I140" s="4" t="s">
        <v>18</v>
      </c>
      <c r="J140" s="4">
        <v>3</v>
      </c>
      <c r="K140" s="4"/>
      <c r="L140" s="12">
        <v>1782</v>
      </c>
      <c r="M140" s="13">
        <v>1446</v>
      </c>
      <c r="N140" s="9">
        <v>1446</v>
      </c>
      <c r="O140" s="43">
        <f>'[6]6267CEM'!$R$20</f>
        <v>1680</v>
      </c>
      <c r="P140" s="39">
        <v>279.60000000000002</v>
      </c>
      <c r="Q140" s="57">
        <f>'[7]6115REV'!$R$20</f>
        <v>0</v>
      </c>
    </row>
    <row r="141" spans="1:17" x14ac:dyDescent="0.25">
      <c r="A141" s="3" t="s">
        <v>860</v>
      </c>
      <c r="B141" s="3" t="s">
        <v>11</v>
      </c>
      <c r="C141" s="3" t="s">
        <v>12</v>
      </c>
      <c r="D141" s="3" t="s">
        <v>156</v>
      </c>
      <c r="E141" s="3" t="s">
        <v>608</v>
      </c>
      <c r="F141" s="3" t="s">
        <v>37</v>
      </c>
      <c r="G141" s="3" t="s">
        <v>16</v>
      </c>
      <c r="H141" s="3" t="s">
        <v>861</v>
      </c>
      <c r="I141" s="4" t="s">
        <v>38</v>
      </c>
      <c r="J141" s="4">
        <v>1</v>
      </c>
      <c r="K141" s="4"/>
      <c r="L141" s="12">
        <v>0</v>
      </c>
      <c r="M141" s="13">
        <v>0</v>
      </c>
      <c r="N141" s="9">
        <v>0</v>
      </c>
      <c r="O141" s="43">
        <f>'[8]6267CEM'!$P$21</f>
        <v>0</v>
      </c>
      <c r="P141" s="39"/>
      <c r="Q141" s="57"/>
    </row>
    <row r="142" spans="1:17" x14ac:dyDescent="0.25">
      <c r="A142" s="3" t="s">
        <v>850</v>
      </c>
      <c r="B142" s="3" t="s">
        <v>11</v>
      </c>
      <c r="C142" s="3" t="s">
        <v>12</v>
      </c>
      <c r="D142" s="3" t="s">
        <v>30</v>
      </c>
      <c r="E142" s="3" t="s">
        <v>851</v>
      </c>
      <c r="F142" s="3" t="s">
        <v>15</v>
      </c>
      <c r="G142" s="3" t="s">
        <v>16</v>
      </c>
      <c r="H142" s="3" t="s">
        <v>852</v>
      </c>
      <c r="I142" s="4" t="s">
        <v>18</v>
      </c>
      <c r="J142" s="4">
        <v>3</v>
      </c>
      <c r="K142" s="4"/>
      <c r="L142" s="12">
        <v>24319</v>
      </c>
      <c r="M142" s="13">
        <v>20016</v>
      </c>
      <c r="N142" s="9">
        <v>20016</v>
      </c>
      <c r="O142" s="43">
        <f>'[6]6267CEM'!$Q$20</f>
        <v>22873.023914399997</v>
      </c>
      <c r="P142" s="39">
        <v>4151.8599999999997</v>
      </c>
      <c r="Q142" s="57">
        <f>'[7]6115REV'!$Q$20</f>
        <v>0</v>
      </c>
    </row>
    <row r="143" spans="1:17" x14ac:dyDescent="0.25">
      <c r="A143" s="3" t="s">
        <v>856</v>
      </c>
      <c r="B143" s="3" t="s">
        <v>11</v>
      </c>
      <c r="C143" s="3" t="s">
        <v>12</v>
      </c>
      <c r="D143" s="3" t="s">
        <v>43</v>
      </c>
      <c r="E143" s="3" t="s">
        <v>851</v>
      </c>
      <c r="F143" s="3" t="s">
        <v>15</v>
      </c>
      <c r="G143" s="3" t="s">
        <v>16</v>
      </c>
      <c r="H143" s="3" t="s">
        <v>852</v>
      </c>
      <c r="I143" s="4" t="s">
        <v>18</v>
      </c>
      <c r="J143" s="4">
        <v>3</v>
      </c>
      <c r="K143" s="4"/>
      <c r="L143" s="12">
        <v>24144</v>
      </c>
      <c r="M143" s="13">
        <v>20742</v>
      </c>
      <c r="N143" s="9">
        <v>20742</v>
      </c>
      <c r="O143" s="43">
        <f>'[6]6267CEM'!$T$20</f>
        <v>22873.023914399997</v>
      </c>
      <c r="P143" s="39">
        <v>4414.04</v>
      </c>
      <c r="Q143" s="57">
        <f>'[7]6115REV'!$T$20</f>
        <v>0</v>
      </c>
    </row>
    <row r="144" spans="1:17" x14ac:dyDescent="0.25">
      <c r="A144" s="3" t="s">
        <v>875</v>
      </c>
      <c r="B144" s="3" t="s">
        <v>11</v>
      </c>
      <c r="C144" s="3" t="s">
        <v>12</v>
      </c>
      <c r="D144" s="3" t="s">
        <v>162</v>
      </c>
      <c r="E144" s="3" t="s">
        <v>608</v>
      </c>
      <c r="F144" s="3" t="s">
        <v>37</v>
      </c>
      <c r="G144" s="3" t="s">
        <v>16</v>
      </c>
      <c r="H144" s="3" t="s">
        <v>861</v>
      </c>
      <c r="I144" s="4" t="s">
        <v>38</v>
      </c>
      <c r="J144" s="4">
        <v>1</v>
      </c>
      <c r="K144" s="4"/>
      <c r="L144" s="12">
        <v>0</v>
      </c>
      <c r="M144" s="13">
        <v>48649</v>
      </c>
      <c r="N144" s="9">
        <v>48649</v>
      </c>
      <c r="O144" s="43">
        <v>0</v>
      </c>
      <c r="P144" s="39"/>
      <c r="Q144" s="38"/>
    </row>
    <row r="145" spans="1:17" x14ac:dyDescent="0.25">
      <c r="A145" s="3" t="s">
        <v>847</v>
      </c>
      <c r="B145" s="3" t="s">
        <v>11</v>
      </c>
      <c r="C145" s="3" t="s">
        <v>12</v>
      </c>
      <c r="D145" s="3" t="s">
        <v>157</v>
      </c>
      <c r="E145" s="3" t="s">
        <v>50</v>
      </c>
      <c r="F145" s="3" t="s">
        <v>15</v>
      </c>
      <c r="G145" s="3" t="s">
        <v>16</v>
      </c>
      <c r="H145" s="3" t="s">
        <v>835</v>
      </c>
      <c r="I145" s="4" t="s">
        <v>18</v>
      </c>
      <c r="J145" s="4">
        <v>3</v>
      </c>
      <c r="K145" s="4"/>
      <c r="L145" s="12">
        <v>2463237</v>
      </c>
      <c r="M145" s="13">
        <v>2193656</v>
      </c>
      <c r="N145" s="9">
        <v>2193656</v>
      </c>
      <c r="O145" s="43">
        <f>'[6]6255HALLS'!$E$21</f>
        <v>2653912.4900760008</v>
      </c>
      <c r="P145" s="39">
        <v>516831.12</v>
      </c>
      <c r="Q145" s="57">
        <f>'[7]6115REV'!$E$21</f>
        <v>0</v>
      </c>
    </row>
    <row r="146" spans="1:17" x14ac:dyDescent="0.25">
      <c r="A146" s="3" t="s">
        <v>840</v>
      </c>
      <c r="B146" s="3" t="s">
        <v>11</v>
      </c>
      <c r="C146" s="3" t="s">
        <v>12</v>
      </c>
      <c r="D146" s="3" t="s">
        <v>1630</v>
      </c>
      <c r="E146" s="3" t="s">
        <v>50</v>
      </c>
      <c r="F146" s="3" t="s">
        <v>15</v>
      </c>
      <c r="G146" s="3" t="s">
        <v>16</v>
      </c>
      <c r="H146" s="3" t="s">
        <v>835</v>
      </c>
      <c r="I146" s="4" t="s">
        <v>18</v>
      </c>
      <c r="J146" s="4">
        <v>3</v>
      </c>
      <c r="K146" s="4"/>
      <c r="L146" s="12">
        <v>70000</v>
      </c>
      <c r="M146" s="13">
        <v>270000</v>
      </c>
      <c r="N146" s="9">
        <v>270000</v>
      </c>
      <c r="O146" s="43">
        <v>130000</v>
      </c>
      <c r="P146" s="39">
        <v>16193.92</v>
      </c>
      <c r="Q146" s="38">
        <v>130000</v>
      </c>
    </row>
    <row r="147" spans="1:17" x14ac:dyDescent="0.25">
      <c r="A147" s="3" t="s">
        <v>841</v>
      </c>
      <c r="B147" s="3" t="s">
        <v>11</v>
      </c>
      <c r="C147" s="3" t="s">
        <v>12</v>
      </c>
      <c r="D147" s="3" t="s">
        <v>153</v>
      </c>
      <c r="E147" s="3" t="s">
        <v>50</v>
      </c>
      <c r="F147" s="3" t="s">
        <v>15</v>
      </c>
      <c r="G147" s="3" t="s">
        <v>16</v>
      </c>
      <c r="H147" s="3" t="s">
        <v>835</v>
      </c>
      <c r="I147" s="4" t="s">
        <v>18</v>
      </c>
      <c r="J147" s="4">
        <v>3</v>
      </c>
      <c r="K147" s="4"/>
      <c r="L147" s="12">
        <v>205270</v>
      </c>
      <c r="M147" s="13">
        <v>199594</v>
      </c>
      <c r="N147" s="9">
        <v>199594</v>
      </c>
      <c r="O147" s="43">
        <f>'[6]6255HALLS'!$I$21</f>
        <v>221159.37417299996</v>
      </c>
      <c r="P147" s="39">
        <v>24061.82</v>
      </c>
      <c r="Q147" s="38">
        <f>'[7]6115REV'!$I$21</f>
        <v>0</v>
      </c>
    </row>
    <row r="148" spans="1:17" x14ac:dyDescent="0.25">
      <c r="A148" s="3" t="s">
        <v>842</v>
      </c>
      <c r="B148" s="3" t="s">
        <v>11</v>
      </c>
      <c r="C148" s="3" t="s">
        <v>12</v>
      </c>
      <c r="D148" s="3" t="s">
        <v>155</v>
      </c>
      <c r="E148" s="3" t="s">
        <v>50</v>
      </c>
      <c r="F148" s="3" t="s">
        <v>15</v>
      </c>
      <c r="G148" s="3" t="s">
        <v>16</v>
      </c>
      <c r="H148" s="3" t="s">
        <v>835</v>
      </c>
      <c r="I148" s="4" t="s">
        <v>18</v>
      </c>
      <c r="J148" s="4">
        <v>3</v>
      </c>
      <c r="K148" s="4"/>
      <c r="L148" s="12">
        <v>268228</v>
      </c>
      <c r="M148" s="13">
        <v>248738</v>
      </c>
      <c r="N148" s="9">
        <v>248738</v>
      </c>
      <c r="O148" s="43">
        <f>'[8]6255HALLS'!$J$21</f>
        <v>0</v>
      </c>
      <c r="P148" s="39">
        <v>0</v>
      </c>
      <c r="Q148" s="38">
        <v>0</v>
      </c>
    </row>
    <row r="149" spans="1:17" x14ac:dyDescent="0.25">
      <c r="A149" s="3" t="s">
        <v>838</v>
      </c>
      <c r="B149" s="3" t="s">
        <v>11</v>
      </c>
      <c r="C149" s="3" t="s">
        <v>12</v>
      </c>
      <c r="D149" s="3" t="s">
        <v>41</v>
      </c>
      <c r="E149" s="3" t="s">
        <v>50</v>
      </c>
      <c r="F149" s="3" t="s">
        <v>15</v>
      </c>
      <c r="G149" s="3" t="s">
        <v>16</v>
      </c>
      <c r="H149" s="3" t="s">
        <v>835</v>
      </c>
      <c r="I149" s="4" t="s">
        <v>18</v>
      </c>
      <c r="J149" s="4">
        <v>3</v>
      </c>
      <c r="K149" s="4"/>
      <c r="L149" s="12">
        <v>541912</v>
      </c>
      <c r="M149" s="13">
        <v>484609</v>
      </c>
      <c r="N149" s="9">
        <v>484609</v>
      </c>
      <c r="O149" s="43">
        <f>'[6]6255HALLS'!$K$21</f>
        <v>583860.74781672005</v>
      </c>
      <c r="P149" s="39">
        <v>113702.85</v>
      </c>
      <c r="Q149" s="57">
        <f>'[7]6115REV'!$K$21</f>
        <v>0</v>
      </c>
    </row>
    <row r="150" spans="1:17" x14ac:dyDescent="0.25">
      <c r="A150" s="3" t="s">
        <v>837</v>
      </c>
      <c r="B150" s="3" t="s">
        <v>11</v>
      </c>
      <c r="C150" s="3" t="s">
        <v>12</v>
      </c>
      <c r="D150" s="3" t="s">
        <v>36</v>
      </c>
      <c r="E150" s="3" t="s">
        <v>50</v>
      </c>
      <c r="F150" s="3" t="s">
        <v>15</v>
      </c>
      <c r="G150" s="3" t="s">
        <v>16</v>
      </c>
      <c r="H150" s="3" t="s">
        <v>835</v>
      </c>
      <c r="I150" s="4" t="s">
        <v>18</v>
      </c>
      <c r="J150" s="4">
        <v>3</v>
      </c>
      <c r="K150" s="4"/>
      <c r="L150" s="12">
        <v>52769</v>
      </c>
      <c r="M150" s="13">
        <v>53892</v>
      </c>
      <c r="N150" s="9">
        <v>53892</v>
      </c>
      <c r="O150" s="43">
        <f>'[8]6255HALLS'!$L$21</f>
        <v>57499.199999999997</v>
      </c>
      <c r="P150" s="39">
        <v>4044.6</v>
      </c>
      <c r="Q150" s="38">
        <f>'[7]6115REV'!$L$21</f>
        <v>0</v>
      </c>
    </row>
    <row r="151" spans="1:17" x14ac:dyDescent="0.25">
      <c r="A151" s="3" t="s">
        <v>836</v>
      </c>
      <c r="B151" s="3" t="s">
        <v>11</v>
      </c>
      <c r="C151" s="3" t="s">
        <v>12</v>
      </c>
      <c r="D151" s="3" t="s">
        <v>151</v>
      </c>
      <c r="E151" s="3" t="s">
        <v>50</v>
      </c>
      <c r="F151" s="3" t="s">
        <v>15</v>
      </c>
      <c r="G151" s="3" t="s">
        <v>16</v>
      </c>
      <c r="H151" s="3" t="s">
        <v>835</v>
      </c>
      <c r="I151" s="4" t="s">
        <v>18</v>
      </c>
      <c r="J151" s="4">
        <v>3</v>
      </c>
      <c r="K151" s="4"/>
      <c r="L151" s="12">
        <v>1782</v>
      </c>
      <c r="M151" s="13">
        <v>1681</v>
      </c>
      <c r="N151" s="9">
        <v>1681</v>
      </c>
      <c r="O151" s="43">
        <f>'[8]6255HALLS'!$R$21</f>
        <v>1890</v>
      </c>
      <c r="P151" s="39">
        <v>391.44</v>
      </c>
      <c r="Q151" s="57">
        <f>'[7]6115REV'!$R$21</f>
        <v>0</v>
      </c>
    </row>
    <row r="152" spans="1:17" x14ac:dyDescent="0.25">
      <c r="A152" s="3" t="s">
        <v>834</v>
      </c>
      <c r="B152" s="3" t="s">
        <v>11</v>
      </c>
      <c r="C152" s="3" t="s">
        <v>12</v>
      </c>
      <c r="D152" s="3" t="s">
        <v>30</v>
      </c>
      <c r="E152" s="3" t="s">
        <v>50</v>
      </c>
      <c r="F152" s="3" t="s">
        <v>15</v>
      </c>
      <c r="G152" s="3" t="s">
        <v>16</v>
      </c>
      <c r="H152" s="3" t="s">
        <v>835</v>
      </c>
      <c r="I152" s="4" t="s">
        <v>18</v>
      </c>
      <c r="J152" s="4">
        <v>3</v>
      </c>
      <c r="K152" s="4"/>
      <c r="L152" s="12">
        <v>24632</v>
      </c>
      <c r="M152" s="13">
        <v>24042</v>
      </c>
      <c r="N152" s="9">
        <v>24042</v>
      </c>
      <c r="O152" s="43">
        <f>'[6]6255HALLS'!$Q$21</f>
        <v>26539.124900759998</v>
      </c>
      <c r="P152" s="39">
        <v>5227.63</v>
      </c>
      <c r="Q152" s="57">
        <f>'[7]6115REV'!$Q$21</f>
        <v>0</v>
      </c>
    </row>
    <row r="153" spans="1:17" x14ac:dyDescent="0.25">
      <c r="A153" s="3" t="s">
        <v>843</v>
      </c>
      <c r="B153" s="3" t="s">
        <v>11</v>
      </c>
      <c r="C153" s="3" t="s">
        <v>12</v>
      </c>
      <c r="D153" s="3" t="s">
        <v>156</v>
      </c>
      <c r="E153" s="3" t="s">
        <v>844</v>
      </c>
      <c r="F153" s="3" t="s">
        <v>37</v>
      </c>
      <c r="G153" s="3" t="s">
        <v>16</v>
      </c>
      <c r="H153" s="3" t="s">
        <v>845</v>
      </c>
      <c r="I153" s="4" t="s">
        <v>38</v>
      </c>
      <c r="J153" s="4">
        <v>1</v>
      </c>
      <c r="K153" s="4"/>
      <c r="L153" s="12">
        <v>0</v>
      </c>
      <c r="M153" s="13">
        <v>0</v>
      </c>
      <c r="N153" s="9">
        <v>0</v>
      </c>
      <c r="O153" s="43">
        <f>'[8]6255HALLS'!$P$21</f>
        <v>0</v>
      </c>
      <c r="P153" s="39"/>
      <c r="Q153" s="57"/>
    </row>
    <row r="154" spans="1:17" x14ac:dyDescent="0.25">
      <c r="A154" s="3" t="s">
        <v>846</v>
      </c>
      <c r="B154" s="3" t="s">
        <v>11</v>
      </c>
      <c r="C154" s="3" t="s">
        <v>12</v>
      </c>
      <c r="D154" s="3" t="s">
        <v>47</v>
      </c>
      <c r="E154" s="3" t="s">
        <v>844</v>
      </c>
      <c r="F154" s="3" t="s">
        <v>37</v>
      </c>
      <c r="G154" s="3" t="s">
        <v>16</v>
      </c>
      <c r="H154" s="3" t="s">
        <v>845</v>
      </c>
      <c r="I154" s="4" t="s">
        <v>38</v>
      </c>
      <c r="J154" s="4">
        <v>1</v>
      </c>
      <c r="K154" s="4"/>
      <c r="L154" s="12">
        <v>0</v>
      </c>
      <c r="M154" s="13">
        <v>0</v>
      </c>
      <c r="N154" s="9">
        <v>0</v>
      </c>
      <c r="O154" s="43">
        <f>'[8]6255HALLS'!$M$21</f>
        <v>0</v>
      </c>
      <c r="P154" s="39"/>
      <c r="Q154" s="57"/>
    </row>
    <row r="155" spans="1:17" x14ac:dyDescent="0.25">
      <c r="A155" s="3" t="s">
        <v>839</v>
      </c>
      <c r="B155" s="3" t="s">
        <v>11</v>
      </c>
      <c r="C155" s="3" t="s">
        <v>12</v>
      </c>
      <c r="D155" s="3" t="s">
        <v>43</v>
      </c>
      <c r="E155" s="3" t="s">
        <v>50</v>
      </c>
      <c r="F155" s="3" t="s">
        <v>15</v>
      </c>
      <c r="G155" s="3" t="s">
        <v>16</v>
      </c>
      <c r="H155" s="3" t="s">
        <v>835</v>
      </c>
      <c r="I155" s="4" t="s">
        <v>18</v>
      </c>
      <c r="J155" s="4">
        <v>3</v>
      </c>
      <c r="K155" s="4"/>
      <c r="L155" s="12">
        <v>24458</v>
      </c>
      <c r="M155" s="13">
        <v>25184</v>
      </c>
      <c r="N155" s="9">
        <v>25184</v>
      </c>
      <c r="O155" s="43">
        <f>'[6]6255HALLS'!$T$21</f>
        <v>26094.073113599996</v>
      </c>
      <c r="P155" s="39">
        <v>6209.24</v>
      </c>
      <c r="Q155" s="57">
        <f>'[7]6115REV'!$T$21</f>
        <v>0</v>
      </c>
    </row>
    <row r="156" spans="1:17" x14ac:dyDescent="0.25">
      <c r="A156" s="3" t="s">
        <v>849</v>
      </c>
      <c r="B156" s="3" t="s">
        <v>11</v>
      </c>
      <c r="C156" s="3" t="s">
        <v>12</v>
      </c>
      <c r="D156" s="3" t="s">
        <v>162</v>
      </c>
      <c r="E156" s="3" t="s">
        <v>844</v>
      </c>
      <c r="F156" s="3" t="s">
        <v>37</v>
      </c>
      <c r="G156" s="3" t="s">
        <v>16</v>
      </c>
      <c r="H156" s="3" t="s">
        <v>845</v>
      </c>
      <c r="I156" s="4" t="s">
        <v>38</v>
      </c>
      <c r="J156" s="4">
        <v>1</v>
      </c>
      <c r="K156" s="4"/>
      <c r="L156" s="12">
        <v>0</v>
      </c>
      <c r="M156" s="13">
        <v>26028</v>
      </c>
      <c r="N156" s="9">
        <v>26028</v>
      </c>
      <c r="O156" s="39">
        <v>0</v>
      </c>
      <c r="P156" s="39"/>
      <c r="Q156" s="38">
        <v>0</v>
      </c>
    </row>
    <row r="157" spans="1:17" x14ac:dyDescent="0.25">
      <c r="A157" s="3" t="s">
        <v>832</v>
      </c>
      <c r="B157" s="3" t="s">
        <v>11</v>
      </c>
      <c r="C157" s="3" t="s">
        <v>12</v>
      </c>
      <c r="D157" s="3" t="s">
        <v>157</v>
      </c>
      <c r="E157" s="3" t="s">
        <v>817</v>
      </c>
      <c r="F157" s="3" t="s">
        <v>15</v>
      </c>
      <c r="G157" s="3" t="s">
        <v>16</v>
      </c>
      <c r="H157" s="3" t="s">
        <v>818</v>
      </c>
      <c r="I157" s="4" t="s">
        <v>18</v>
      </c>
      <c r="J157" s="4">
        <v>3</v>
      </c>
      <c r="K157" s="4"/>
      <c r="L157" s="12">
        <v>369192</v>
      </c>
      <c r="M157" s="13">
        <v>267379</v>
      </c>
      <c r="N157" s="9">
        <v>267379</v>
      </c>
      <c r="O157" s="43">
        <f>'[6]6251LIB'!$E$7</f>
        <v>395778.47795999999</v>
      </c>
      <c r="P157" s="39">
        <v>62851.89</v>
      </c>
      <c r="Q157" s="57">
        <f>'[7]6115REV'!$E$7</f>
        <v>44818.629300000001</v>
      </c>
    </row>
    <row r="158" spans="1:17" x14ac:dyDescent="0.25">
      <c r="A158" s="3" t="s">
        <v>829</v>
      </c>
      <c r="B158" s="3" t="s">
        <v>11</v>
      </c>
      <c r="C158" s="3" t="s">
        <v>12</v>
      </c>
      <c r="D158" s="3" t="s">
        <v>1630</v>
      </c>
      <c r="E158" s="3" t="s">
        <v>817</v>
      </c>
      <c r="F158" s="3" t="s">
        <v>15</v>
      </c>
      <c r="G158" s="3" t="s">
        <v>16</v>
      </c>
      <c r="H158" s="3" t="s">
        <v>818</v>
      </c>
      <c r="I158" s="4" t="s">
        <v>18</v>
      </c>
      <c r="J158" s="4">
        <v>3</v>
      </c>
      <c r="K158" s="4"/>
      <c r="L158" s="12">
        <v>20000</v>
      </c>
      <c r="M158" s="13">
        <v>30000</v>
      </c>
      <c r="N158" s="9">
        <v>30000</v>
      </c>
      <c r="O158" s="43">
        <v>15000</v>
      </c>
      <c r="P158" s="39">
        <v>4740</v>
      </c>
      <c r="Q158" s="38">
        <v>15000</v>
      </c>
    </row>
    <row r="159" spans="1:17" x14ac:dyDescent="0.25">
      <c r="A159" s="3" t="s">
        <v>830</v>
      </c>
      <c r="B159" s="3" t="s">
        <v>11</v>
      </c>
      <c r="C159" s="3" t="s">
        <v>12</v>
      </c>
      <c r="D159" s="3" t="s">
        <v>153</v>
      </c>
      <c r="E159" s="3" t="s">
        <v>817</v>
      </c>
      <c r="F159" s="3" t="s">
        <v>15</v>
      </c>
      <c r="G159" s="3" t="s">
        <v>16</v>
      </c>
      <c r="H159" s="3" t="s">
        <v>818</v>
      </c>
      <c r="I159" s="4" t="s">
        <v>18</v>
      </c>
      <c r="J159" s="4">
        <v>3</v>
      </c>
      <c r="K159" s="4"/>
      <c r="L159" s="12">
        <v>30766</v>
      </c>
      <c r="M159" s="13">
        <v>23437</v>
      </c>
      <c r="N159" s="9">
        <v>23437</v>
      </c>
      <c r="O159" s="43">
        <f>'[6]6251LIB'!$I$7</f>
        <v>32981.539829999994</v>
      </c>
      <c r="P159" s="39">
        <v>0</v>
      </c>
      <c r="Q159" s="38">
        <f>'[7]6115REV'!$I$7</f>
        <v>14939.543100000001</v>
      </c>
    </row>
    <row r="160" spans="1:17" x14ac:dyDescent="0.25">
      <c r="A160" s="3" t="s">
        <v>827</v>
      </c>
      <c r="B160" s="3" t="s">
        <v>11</v>
      </c>
      <c r="C160" s="3" t="s">
        <v>12</v>
      </c>
      <c r="D160" s="3" t="s">
        <v>41</v>
      </c>
      <c r="E160" s="3" t="s">
        <v>817</v>
      </c>
      <c r="F160" s="3" t="s">
        <v>15</v>
      </c>
      <c r="G160" s="3" t="s">
        <v>16</v>
      </c>
      <c r="H160" s="3" t="s">
        <v>818</v>
      </c>
      <c r="I160" s="4" t="s">
        <v>18</v>
      </c>
      <c r="J160" s="4">
        <v>3</v>
      </c>
      <c r="K160" s="4"/>
      <c r="L160" s="12">
        <v>81222</v>
      </c>
      <c r="M160" s="13">
        <v>58823</v>
      </c>
      <c r="N160" s="9">
        <v>58823</v>
      </c>
      <c r="O160" s="43">
        <f>'[6]6251LIB'!$K$7</f>
        <v>87071.265151200001</v>
      </c>
      <c r="P160" s="39">
        <v>13827.42</v>
      </c>
      <c r="Q160" s="57">
        <f>'[7]6115REV'!$K$7</f>
        <v>9860.098446</v>
      </c>
    </row>
    <row r="161" spans="1:17" x14ac:dyDescent="0.25">
      <c r="A161" s="3" t="s">
        <v>826</v>
      </c>
      <c r="B161" s="3" t="s">
        <v>11</v>
      </c>
      <c r="C161" s="3" t="s">
        <v>12</v>
      </c>
      <c r="D161" s="3" t="s">
        <v>36</v>
      </c>
      <c r="E161" s="3" t="s">
        <v>817</v>
      </c>
      <c r="F161" s="3" t="s">
        <v>15</v>
      </c>
      <c r="G161" s="3" t="s">
        <v>16</v>
      </c>
      <c r="H161" s="3" t="s">
        <v>818</v>
      </c>
      <c r="I161" s="4" t="s">
        <v>18</v>
      </c>
      <c r="J161" s="4">
        <v>3</v>
      </c>
      <c r="K161" s="4"/>
      <c r="L161" s="12">
        <v>27036</v>
      </c>
      <c r="M161" s="13">
        <v>27205</v>
      </c>
      <c r="N161" s="9">
        <v>27205</v>
      </c>
      <c r="O161" s="39">
        <f>'[8]6251LIB'!$L$7</f>
        <v>27374.399999999998</v>
      </c>
      <c r="P161" s="39">
        <v>6843.6</v>
      </c>
      <c r="Q161" s="38">
        <f>'[7]6115REV'!$L$7</f>
        <v>0</v>
      </c>
    </row>
    <row r="162" spans="1:17" x14ac:dyDescent="0.25">
      <c r="A162" s="3" t="s">
        <v>825</v>
      </c>
      <c r="B162" s="3" t="s">
        <v>11</v>
      </c>
      <c r="C162" s="3" t="s">
        <v>12</v>
      </c>
      <c r="D162" s="3" t="s">
        <v>151</v>
      </c>
      <c r="E162" s="3" t="s">
        <v>817</v>
      </c>
      <c r="F162" s="3" t="s">
        <v>15</v>
      </c>
      <c r="G162" s="3" t="s">
        <v>16</v>
      </c>
      <c r="H162" s="3" t="s">
        <v>818</v>
      </c>
      <c r="I162" s="4" t="s">
        <v>18</v>
      </c>
      <c r="J162" s="4">
        <v>3</v>
      </c>
      <c r="K162" s="4"/>
      <c r="L162" s="12">
        <v>198</v>
      </c>
      <c r="M162" s="13">
        <v>131</v>
      </c>
      <c r="N162" s="9">
        <v>131</v>
      </c>
      <c r="O162" s="39">
        <f>'[8]6251LIB'!$R$7</f>
        <v>210</v>
      </c>
      <c r="P162" s="39">
        <v>27.96</v>
      </c>
      <c r="Q162" s="57">
        <f>'[7]6115REV'!$R$7</f>
        <v>26.25</v>
      </c>
    </row>
    <row r="163" spans="1:17" x14ac:dyDescent="0.25">
      <c r="A163" s="3" t="s">
        <v>824</v>
      </c>
      <c r="B163" s="3" t="s">
        <v>11</v>
      </c>
      <c r="C163" s="3" t="s">
        <v>12</v>
      </c>
      <c r="D163" s="3" t="s">
        <v>30</v>
      </c>
      <c r="E163" s="3" t="s">
        <v>817</v>
      </c>
      <c r="F163" s="3" t="s">
        <v>15</v>
      </c>
      <c r="G163" s="3" t="s">
        <v>16</v>
      </c>
      <c r="H163" s="3" t="s">
        <v>818</v>
      </c>
      <c r="I163" s="4" t="s">
        <v>18</v>
      </c>
      <c r="J163" s="4">
        <v>3</v>
      </c>
      <c r="K163" s="4"/>
      <c r="L163" s="12">
        <v>3692</v>
      </c>
      <c r="M163" s="13">
        <v>3057</v>
      </c>
      <c r="N163" s="9">
        <v>3057</v>
      </c>
      <c r="O163" s="43">
        <f>'[6]6251LIB'!$Q$7</f>
        <v>3957.7847795999996</v>
      </c>
      <c r="P163" s="39">
        <v>697.5</v>
      </c>
      <c r="Q163" s="57">
        <f>'[7]6115REV'!$Q$7</f>
        <v>448.18629300000003</v>
      </c>
    </row>
    <row r="164" spans="1:17" x14ac:dyDescent="0.25">
      <c r="A164" s="3" t="s">
        <v>831</v>
      </c>
      <c r="B164" s="3" t="s">
        <v>11</v>
      </c>
      <c r="C164" s="3" t="s">
        <v>12</v>
      </c>
      <c r="D164" s="3" t="s">
        <v>155</v>
      </c>
      <c r="E164" s="3" t="s">
        <v>817</v>
      </c>
      <c r="F164" s="3" t="s">
        <v>37</v>
      </c>
      <c r="G164" s="3" t="s">
        <v>16</v>
      </c>
      <c r="H164" s="3" t="s">
        <v>818</v>
      </c>
      <c r="I164" s="4" t="s">
        <v>38</v>
      </c>
      <c r="J164" s="4">
        <v>1</v>
      </c>
      <c r="K164" s="4"/>
      <c r="L164" s="12">
        <v>0</v>
      </c>
      <c r="M164" s="13">
        <v>0</v>
      </c>
      <c r="N164" s="9">
        <v>0</v>
      </c>
      <c r="O164" s="43">
        <f>'[8]6251LIB'!$J$7</f>
        <v>0</v>
      </c>
      <c r="P164" s="39">
        <v>0</v>
      </c>
      <c r="Q164" s="38">
        <v>0</v>
      </c>
    </row>
    <row r="165" spans="1:17" x14ac:dyDescent="0.25">
      <c r="A165" s="3" t="s">
        <v>828</v>
      </c>
      <c r="B165" s="3" t="s">
        <v>11</v>
      </c>
      <c r="C165" s="3" t="s">
        <v>12</v>
      </c>
      <c r="D165" s="3" t="s">
        <v>43</v>
      </c>
      <c r="E165" s="3" t="s">
        <v>817</v>
      </c>
      <c r="F165" s="3" t="s">
        <v>15</v>
      </c>
      <c r="G165" s="3" t="s">
        <v>16</v>
      </c>
      <c r="H165" s="3" t="s">
        <v>818</v>
      </c>
      <c r="I165" s="4" t="s">
        <v>18</v>
      </c>
      <c r="J165" s="4">
        <v>3</v>
      </c>
      <c r="K165" s="4"/>
      <c r="L165" s="12">
        <v>2844</v>
      </c>
      <c r="M165" s="13">
        <v>2412</v>
      </c>
      <c r="N165" s="9">
        <v>2412</v>
      </c>
      <c r="O165" s="43">
        <f>'[6]6251LIB'!$T$7</f>
        <v>2941.0695695999998</v>
      </c>
      <c r="P165" s="39">
        <v>446.16</v>
      </c>
      <c r="Q165" s="57">
        <f>'[7]6115REV'!$T$7</f>
        <v>448.18629300000003</v>
      </c>
    </row>
    <row r="166" spans="1:17" x14ac:dyDescent="0.25">
      <c r="A166" s="3" t="s">
        <v>805</v>
      </c>
      <c r="B166" s="3" t="s">
        <v>11</v>
      </c>
      <c r="C166" s="3" t="s">
        <v>12</v>
      </c>
      <c r="D166" s="3" t="s">
        <v>157</v>
      </c>
      <c r="E166" s="3" t="s">
        <v>714</v>
      </c>
      <c r="F166" s="3" t="s">
        <v>15</v>
      </c>
      <c r="G166" s="3" t="s">
        <v>16</v>
      </c>
      <c r="H166" s="3" t="s">
        <v>715</v>
      </c>
      <c r="I166" s="4" t="s">
        <v>18</v>
      </c>
      <c r="J166" s="4">
        <v>3</v>
      </c>
      <c r="K166" s="4"/>
      <c r="L166" s="12">
        <v>2251834</v>
      </c>
      <c r="M166" s="13">
        <v>1995089</v>
      </c>
      <c r="N166" s="9">
        <v>1995089</v>
      </c>
      <c r="O166" s="43">
        <f>'[6]6155TOWN'!$E$10</f>
        <v>2415152.8210644</v>
      </c>
      <c r="P166" s="39">
        <v>503151.18</v>
      </c>
      <c r="Q166" s="57">
        <f>'[7]6115REV'!$E$10</f>
        <v>461678.33304300002</v>
      </c>
    </row>
    <row r="167" spans="1:17" x14ac:dyDescent="0.25">
      <c r="A167" s="3" t="s">
        <v>780</v>
      </c>
      <c r="B167" s="3" t="s">
        <v>11</v>
      </c>
      <c r="C167" s="3" t="s">
        <v>12</v>
      </c>
      <c r="D167" s="3" t="s">
        <v>86</v>
      </c>
      <c r="E167" s="3" t="s">
        <v>637</v>
      </c>
      <c r="F167" s="3" t="s">
        <v>37</v>
      </c>
      <c r="G167" s="3" t="s">
        <v>16</v>
      </c>
      <c r="H167" s="3" t="s">
        <v>715</v>
      </c>
      <c r="I167" s="4" t="s">
        <v>38</v>
      </c>
      <c r="J167" s="4">
        <v>1</v>
      </c>
      <c r="K167" s="4"/>
      <c r="L167" s="12">
        <v>0</v>
      </c>
      <c r="M167" s="13">
        <v>0</v>
      </c>
      <c r="N167" s="9">
        <v>0</v>
      </c>
      <c r="O167" s="43">
        <f>'[8]6155TOWN'!$G$10</f>
        <v>0</v>
      </c>
      <c r="P167" s="39"/>
      <c r="Q167" s="38"/>
    </row>
    <row r="168" spans="1:17" x14ac:dyDescent="0.25">
      <c r="A168" s="3" t="s">
        <v>815</v>
      </c>
      <c r="B168" s="3" t="s">
        <v>11</v>
      </c>
      <c r="C168" s="3" t="s">
        <v>12</v>
      </c>
      <c r="D168" s="3" t="s">
        <v>1630</v>
      </c>
      <c r="E168" s="3" t="s">
        <v>714</v>
      </c>
      <c r="F168" s="3" t="s">
        <v>15</v>
      </c>
      <c r="G168" s="3" t="s">
        <v>16</v>
      </c>
      <c r="H168" s="3" t="s">
        <v>715</v>
      </c>
      <c r="I168" s="4" t="s">
        <v>18</v>
      </c>
      <c r="J168" s="4">
        <v>3</v>
      </c>
      <c r="K168" s="4"/>
      <c r="L168" s="12">
        <v>12000</v>
      </c>
      <c r="M168" s="13">
        <v>12000</v>
      </c>
      <c r="N168" s="9">
        <v>12000</v>
      </c>
      <c r="O168" s="43">
        <v>6000</v>
      </c>
      <c r="P168" s="39">
        <v>0</v>
      </c>
      <c r="Q168" s="38">
        <v>6000</v>
      </c>
    </row>
    <row r="169" spans="1:17" x14ac:dyDescent="0.25">
      <c r="A169" s="3" t="s">
        <v>809</v>
      </c>
      <c r="B169" s="3" t="s">
        <v>11</v>
      </c>
      <c r="C169" s="3" t="s">
        <v>12</v>
      </c>
      <c r="D169" s="3" t="s">
        <v>153</v>
      </c>
      <c r="E169" s="3" t="s">
        <v>714</v>
      </c>
      <c r="F169" s="3" t="s">
        <v>15</v>
      </c>
      <c r="G169" s="3" t="s">
        <v>16</v>
      </c>
      <c r="H169" s="3" t="s">
        <v>715</v>
      </c>
      <c r="I169" s="4" t="s">
        <v>18</v>
      </c>
      <c r="J169" s="4">
        <v>3</v>
      </c>
      <c r="K169" s="4"/>
      <c r="L169" s="12">
        <v>187653</v>
      </c>
      <c r="M169" s="13">
        <v>173230</v>
      </c>
      <c r="N169" s="9">
        <v>173230</v>
      </c>
      <c r="O169" s="43">
        <f>'[6]6155TOWN'!$I$10</f>
        <v>201262.73508869999</v>
      </c>
      <c r="P169" s="39">
        <v>0</v>
      </c>
      <c r="Q169" s="38">
        <f>'[7]6115REV'!$I$10</f>
        <v>111081.92841299999</v>
      </c>
    </row>
    <row r="170" spans="1:17" x14ac:dyDescent="0.25">
      <c r="A170" s="3" t="s">
        <v>808</v>
      </c>
      <c r="B170" s="3" t="s">
        <v>11</v>
      </c>
      <c r="C170" s="3" t="s">
        <v>12</v>
      </c>
      <c r="D170" s="3" t="s">
        <v>155</v>
      </c>
      <c r="E170" s="3" t="s">
        <v>714</v>
      </c>
      <c r="F170" s="3" t="s">
        <v>15</v>
      </c>
      <c r="G170" s="3" t="s">
        <v>16</v>
      </c>
      <c r="H170" s="3" t="s">
        <v>715</v>
      </c>
      <c r="I170" s="4" t="s">
        <v>18</v>
      </c>
      <c r="J170" s="4">
        <v>3</v>
      </c>
      <c r="K170" s="4"/>
      <c r="L170" s="12">
        <v>61625</v>
      </c>
      <c r="M170" s="13">
        <v>66851</v>
      </c>
      <c r="N170" s="9">
        <v>66851</v>
      </c>
      <c r="O170" s="43">
        <f>'[8]6155TOWN'!$J$10</f>
        <v>0</v>
      </c>
      <c r="P170" s="39">
        <v>0</v>
      </c>
      <c r="Q170" s="38">
        <v>0</v>
      </c>
    </row>
    <row r="171" spans="1:17" x14ac:dyDescent="0.25">
      <c r="A171" s="3" t="s">
        <v>811</v>
      </c>
      <c r="B171" s="3" t="s">
        <v>11</v>
      </c>
      <c r="C171" s="3" t="s">
        <v>12</v>
      </c>
      <c r="D171" s="3" t="s">
        <v>41</v>
      </c>
      <c r="E171" s="3" t="s">
        <v>714</v>
      </c>
      <c r="F171" s="3" t="s">
        <v>15</v>
      </c>
      <c r="G171" s="3" t="s">
        <v>16</v>
      </c>
      <c r="H171" s="3" t="s">
        <v>715</v>
      </c>
      <c r="I171" s="4" t="s">
        <v>18</v>
      </c>
      <c r="J171" s="4">
        <v>3</v>
      </c>
      <c r="K171" s="4"/>
      <c r="L171" s="12">
        <v>495403</v>
      </c>
      <c r="M171" s="13">
        <v>432666</v>
      </c>
      <c r="N171" s="9">
        <v>432666</v>
      </c>
      <c r="O171" s="43">
        <f>'[6]6155TOWN'!$K$10</f>
        <v>531333.62063416792</v>
      </c>
      <c r="P171" s="39">
        <v>107297.43</v>
      </c>
      <c r="Q171" s="57">
        <f>'[7]6115REV'!$K$10</f>
        <v>101569.23326946</v>
      </c>
    </row>
    <row r="172" spans="1:17" x14ac:dyDescent="0.25">
      <c r="A172" s="3" t="s">
        <v>812</v>
      </c>
      <c r="B172" s="3" t="s">
        <v>11</v>
      </c>
      <c r="C172" s="3" t="s">
        <v>12</v>
      </c>
      <c r="D172" s="3" t="s">
        <v>36</v>
      </c>
      <c r="E172" s="3" t="s">
        <v>714</v>
      </c>
      <c r="F172" s="3" t="s">
        <v>15</v>
      </c>
      <c r="G172" s="3" t="s">
        <v>16</v>
      </c>
      <c r="H172" s="3" t="s">
        <v>715</v>
      </c>
      <c r="I172" s="4" t="s">
        <v>18</v>
      </c>
      <c r="J172" s="4">
        <v>3</v>
      </c>
      <c r="K172" s="4"/>
      <c r="L172" s="12">
        <v>128023</v>
      </c>
      <c r="M172" s="13">
        <v>136436</v>
      </c>
      <c r="N172" s="9">
        <v>136436</v>
      </c>
      <c r="O172" s="43">
        <f>'[8]6155TOWN'!$L$10</f>
        <v>140695.20000000001</v>
      </c>
      <c r="P172" s="39">
        <v>31465.8</v>
      </c>
      <c r="Q172" s="38">
        <f>'[7]6115REV'!$L$10</f>
        <v>13035</v>
      </c>
    </row>
    <row r="173" spans="1:17" x14ac:dyDescent="0.25">
      <c r="A173" s="3" t="s">
        <v>806</v>
      </c>
      <c r="B173" s="3" t="s">
        <v>11</v>
      </c>
      <c r="C173" s="3" t="s">
        <v>12</v>
      </c>
      <c r="D173" s="3" t="s">
        <v>47</v>
      </c>
      <c r="E173" s="3" t="s">
        <v>714</v>
      </c>
      <c r="F173" s="3" t="s">
        <v>15</v>
      </c>
      <c r="G173" s="3" t="s">
        <v>16</v>
      </c>
      <c r="H173" s="3" t="s">
        <v>715</v>
      </c>
      <c r="I173" s="4" t="s">
        <v>18</v>
      </c>
      <c r="J173" s="4">
        <v>3</v>
      </c>
      <c r="K173" s="4"/>
      <c r="L173" s="12">
        <v>335339</v>
      </c>
      <c r="M173" s="13">
        <v>237446</v>
      </c>
      <c r="N173" s="9">
        <v>237446</v>
      </c>
      <c r="O173" s="43">
        <f>'[8]6155TOWN'!$M$10</f>
        <v>348178.55999999994</v>
      </c>
      <c r="P173" s="39">
        <v>51022.5</v>
      </c>
      <c r="Q173" s="57">
        <f>'[7]6115REV'!$M$10</f>
        <v>0</v>
      </c>
    </row>
    <row r="174" spans="1:17" x14ac:dyDescent="0.25">
      <c r="A174" s="3" t="s">
        <v>783</v>
      </c>
      <c r="B174" s="3" t="s">
        <v>11</v>
      </c>
      <c r="C174" s="3" t="s">
        <v>12</v>
      </c>
      <c r="D174" s="3" t="s">
        <v>45</v>
      </c>
      <c r="E174" s="3" t="s">
        <v>637</v>
      </c>
      <c r="F174" s="3" t="s">
        <v>37</v>
      </c>
      <c r="G174" s="3" t="s">
        <v>16</v>
      </c>
      <c r="H174" s="3" t="s">
        <v>715</v>
      </c>
      <c r="I174" s="4" t="s">
        <v>38</v>
      </c>
      <c r="J174" s="4">
        <v>3</v>
      </c>
      <c r="K174" s="4"/>
      <c r="L174" s="12">
        <v>12800</v>
      </c>
      <c r="M174" s="13">
        <v>11300</v>
      </c>
      <c r="N174" s="9">
        <v>11300</v>
      </c>
      <c r="O174" s="43">
        <f>'[8]6155TOWN'!$N$10</f>
        <v>19200</v>
      </c>
      <c r="P174" s="39">
        <v>3195</v>
      </c>
      <c r="Q174" s="57">
        <f>'[7]6115REV'!$N$10</f>
        <v>2274</v>
      </c>
    </row>
    <row r="175" spans="1:17" x14ac:dyDescent="0.25">
      <c r="A175" s="3" t="s">
        <v>807</v>
      </c>
      <c r="B175" s="3" t="s">
        <v>11</v>
      </c>
      <c r="C175" s="3" t="s">
        <v>12</v>
      </c>
      <c r="D175" s="3" t="s">
        <v>156</v>
      </c>
      <c r="E175" s="3" t="s">
        <v>714</v>
      </c>
      <c r="F175" s="3" t="s">
        <v>15</v>
      </c>
      <c r="G175" s="3" t="s">
        <v>16</v>
      </c>
      <c r="H175" s="3" t="s">
        <v>715</v>
      </c>
      <c r="I175" s="4" t="s">
        <v>18</v>
      </c>
      <c r="J175" s="4">
        <v>3</v>
      </c>
      <c r="K175" s="4"/>
      <c r="L175" s="12">
        <v>28678</v>
      </c>
      <c r="M175" s="13">
        <v>20234</v>
      </c>
      <c r="N175" s="9">
        <v>20234</v>
      </c>
      <c r="O175" s="43">
        <f>'[6]6155TOWN'!$P$10</f>
        <v>21786.48</v>
      </c>
      <c r="P175" s="39">
        <v>5446.62</v>
      </c>
      <c r="Q175" s="38">
        <f>'[7]6115REV'!$P$10</f>
        <v>0</v>
      </c>
    </row>
    <row r="176" spans="1:17" x14ac:dyDescent="0.25">
      <c r="A176" s="3" t="s">
        <v>813</v>
      </c>
      <c r="B176" s="3" t="s">
        <v>11</v>
      </c>
      <c r="C176" s="3" t="s">
        <v>12</v>
      </c>
      <c r="D176" s="3" t="s">
        <v>151</v>
      </c>
      <c r="E176" s="3" t="s">
        <v>714</v>
      </c>
      <c r="F176" s="3" t="s">
        <v>15</v>
      </c>
      <c r="G176" s="3" t="s">
        <v>16</v>
      </c>
      <c r="H176" s="3" t="s">
        <v>715</v>
      </c>
      <c r="I176" s="4" t="s">
        <v>18</v>
      </c>
      <c r="J176" s="4">
        <v>3</v>
      </c>
      <c r="K176" s="4"/>
      <c r="L176" s="12">
        <v>693</v>
      </c>
      <c r="M176" s="13">
        <v>662</v>
      </c>
      <c r="N176" s="9">
        <v>662</v>
      </c>
      <c r="O176" s="43">
        <f>'[8]6155TOWN'!$R$10</f>
        <v>735</v>
      </c>
      <c r="P176" s="39">
        <v>167.76</v>
      </c>
      <c r="Q176" s="57">
        <f>'[7]6115REV'!$R$10</f>
        <v>227.5</v>
      </c>
    </row>
    <row r="177" spans="1:17" x14ac:dyDescent="0.25">
      <c r="A177" s="3" t="s">
        <v>814</v>
      </c>
      <c r="B177" s="3" t="s">
        <v>11</v>
      </c>
      <c r="C177" s="3" t="s">
        <v>12</v>
      </c>
      <c r="D177" s="3" t="s">
        <v>30</v>
      </c>
      <c r="E177" s="3" t="s">
        <v>714</v>
      </c>
      <c r="F177" s="3" t="s">
        <v>15</v>
      </c>
      <c r="G177" s="3" t="s">
        <v>16</v>
      </c>
      <c r="H177" s="3" t="s">
        <v>715</v>
      </c>
      <c r="I177" s="4" t="s">
        <v>18</v>
      </c>
      <c r="J177" s="4">
        <v>3</v>
      </c>
      <c r="K177" s="4"/>
      <c r="L177" s="12">
        <v>22518</v>
      </c>
      <c r="M177" s="13">
        <v>21520</v>
      </c>
      <c r="N177" s="9">
        <v>21520</v>
      </c>
      <c r="O177" s="43">
        <f>'[6]6155TOWN'!$Q$10</f>
        <v>24151.528210643999</v>
      </c>
      <c r="P177" s="39">
        <v>5465.09</v>
      </c>
      <c r="Q177" s="57">
        <f>'[7]6115REV'!$Q$10</f>
        <v>4616.7833304300002</v>
      </c>
    </row>
    <row r="178" spans="1:17" x14ac:dyDescent="0.25">
      <c r="A178" s="3" t="s">
        <v>810</v>
      </c>
      <c r="B178" s="3" t="s">
        <v>11</v>
      </c>
      <c r="C178" s="3" t="s">
        <v>12</v>
      </c>
      <c r="D178" s="3" t="s">
        <v>43</v>
      </c>
      <c r="E178" s="3" t="s">
        <v>714</v>
      </c>
      <c r="F178" s="3" t="s">
        <v>15</v>
      </c>
      <c r="G178" s="3" t="s">
        <v>16</v>
      </c>
      <c r="H178" s="3" t="s">
        <v>715</v>
      </c>
      <c r="I178" s="4" t="s">
        <v>18</v>
      </c>
      <c r="J178" s="4">
        <v>3</v>
      </c>
      <c r="K178" s="4"/>
      <c r="L178" s="12">
        <v>10482</v>
      </c>
      <c r="M178" s="13">
        <v>14475</v>
      </c>
      <c r="N178" s="9">
        <v>14475</v>
      </c>
      <c r="O178" s="43">
        <f>'[6]6155TOWN'!$T$10</f>
        <v>10481.52</v>
      </c>
      <c r="P178" s="39">
        <v>2676.96</v>
      </c>
      <c r="Q178" s="57" t="e">
        <f>'[7]6115REV'!$T$10</f>
        <v>#REF!</v>
      </c>
    </row>
    <row r="179" spans="1:17" x14ac:dyDescent="0.25">
      <c r="A179" s="3" t="s">
        <v>760</v>
      </c>
      <c r="B179" s="3" t="s">
        <v>11</v>
      </c>
      <c r="C179" s="3" t="s">
        <v>12</v>
      </c>
      <c r="D179" s="3" t="s">
        <v>157</v>
      </c>
      <c r="E179" s="3" t="s">
        <v>69</v>
      </c>
      <c r="F179" s="3" t="s">
        <v>15</v>
      </c>
      <c r="G179" s="3" t="s">
        <v>16</v>
      </c>
      <c r="H179" s="3" t="s">
        <v>720</v>
      </c>
      <c r="I179" s="4" t="s">
        <v>18</v>
      </c>
      <c r="J179" s="4">
        <v>3</v>
      </c>
      <c r="K179" s="4"/>
      <c r="L179" s="12">
        <v>1415374</v>
      </c>
      <c r="M179" s="13">
        <v>1418671</v>
      </c>
      <c r="N179" s="9">
        <v>1418671</v>
      </c>
      <c r="O179" s="43">
        <f>'[6]6153LED'!$E$9</f>
        <v>1517299.9764840002</v>
      </c>
      <c r="P179" s="39">
        <v>343232.16</v>
      </c>
      <c r="Q179" s="38">
        <f>'[7]6115REV'!$E$9</f>
        <v>0</v>
      </c>
    </row>
    <row r="180" spans="1:17" x14ac:dyDescent="0.25">
      <c r="A180" s="3" t="s">
        <v>771</v>
      </c>
      <c r="B180" s="3" t="s">
        <v>11</v>
      </c>
      <c r="C180" s="3" t="s">
        <v>12</v>
      </c>
      <c r="D180" s="3" t="s">
        <v>86</v>
      </c>
      <c r="E180" s="3" t="s">
        <v>87</v>
      </c>
      <c r="F180" s="3" t="s">
        <v>37</v>
      </c>
      <c r="G180" s="3" t="s">
        <v>16</v>
      </c>
      <c r="H180" s="3" t="s">
        <v>720</v>
      </c>
      <c r="I180" s="4" t="s">
        <v>38</v>
      </c>
      <c r="J180" s="4">
        <v>1</v>
      </c>
      <c r="K180" s="4"/>
      <c r="L180" s="12">
        <v>0</v>
      </c>
      <c r="M180" s="13">
        <v>40000</v>
      </c>
      <c r="N180" s="9">
        <v>40000</v>
      </c>
      <c r="O180" s="43">
        <f>'[8]6153LED'!$G$9</f>
        <v>0</v>
      </c>
      <c r="P180" s="39">
        <v>0</v>
      </c>
      <c r="Q180" s="38">
        <v>0</v>
      </c>
    </row>
    <row r="181" spans="1:17" x14ac:dyDescent="0.25">
      <c r="A181" s="3" t="s">
        <v>755</v>
      </c>
      <c r="B181" s="3" t="s">
        <v>11</v>
      </c>
      <c r="C181" s="3" t="s">
        <v>12</v>
      </c>
      <c r="D181" s="3" t="s">
        <v>1630</v>
      </c>
      <c r="E181" s="3" t="s">
        <v>719</v>
      </c>
      <c r="F181" s="3" t="s">
        <v>37</v>
      </c>
      <c r="G181" s="3" t="s">
        <v>16</v>
      </c>
      <c r="H181" s="3" t="s">
        <v>720</v>
      </c>
      <c r="I181" s="4" t="s">
        <v>38</v>
      </c>
      <c r="J181" s="4">
        <v>1</v>
      </c>
      <c r="K181" s="4"/>
      <c r="L181" s="12">
        <v>0</v>
      </c>
      <c r="M181" s="13">
        <v>1403</v>
      </c>
      <c r="N181" s="9">
        <v>1403</v>
      </c>
      <c r="O181" s="43">
        <v>10000</v>
      </c>
      <c r="P181" s="39">
        <v>7110.01</v>
      </c>
      <c r="Q181" s="38">
        <v>10000</v>
      </c>
    </row>
    <row r="182" spans="1:17" x14ac:dyDescent="0.25">
      <c r="A182" s="3" t="s">
        <v>756</v>
      </c>
      <c r="B182" s="3" t="s">
        <v>11</v>
      </c>
      <c r="C182" s="3" t="s">
        <v>12</v>
      </c>
      <c r="D182" s="3" t="s">
        <v>153</v>
      </c>
      <c r="E182" s="3" t="s">
        <v>69</v>
      </c>
      <c r="F182" s="3" t="s">
        <v>15</v>
      </c>
      <c r="G182" s="3" t="s">
        <v>16</v>
      </c>
      <c r="H182" s="3" t="s">
        <v>720</v>
      </c>
      <c r="I182" s="4" t="s">
        <v>18</v>
      </c>
      <c r="J182" s="4">
        <v>3</v>
      </c>
      <c r="K182" s="4"/>
      <c r="L182" s="12">
        <v>117948</v>
      </c>
      <c r="M182" s="13">
        <v>158331</v>
      </c>
      <c r="N182" s="9">
        <v>158331</v>
      </c>
      <c r="O182" s="43">
        <f>'[6]6153LED'!$I$9</f>
        <v>126441.66470699999</v>
      </c>
      <c r="P182" s="39">
        <v>45133.72</v>
      </c>
      <c r="Q182" s="38">
        <f>'[7]6115REV'!$I$9</f>
        <v>0</v>
      </c>
    </row>
    <row r="183" spans="1:17" x14ac:dyDescent="0.25">
      <c r="A183" s="3" t="s">
        <v>757</v>
      </c>
      <c r="B183" s="3" t="s">
        <v>11</v>
      </c>
      <c r="C183" s="3" t="s">
        <v>12</v>
      </c>
      <c r="D183" s="3" t="s">
        <v>155</v>
      </c>
      <c r="E183" s="3" t="s">
        <v>69</v>
      </c>
      <c r="F183" s="3" t="s">
        <v>15</v>
      </c>
      <c r="G183" s="3" t="s">
        <v>16</v>
      </c>
      <c r="H183" s="3" t="s">
        <v>720</v>
      </c>
      <c r="I183" s="4" t="s">
        <v>18</v>
      </c>
      <c r="J183" s="4">
        <v>3</v>
      </c>
      <c r="K183" s="4"/>
      <c r="L183" s="12">
        <v>16267</v>
      </c>
      <c r="M183" s="13">
        <v>16267</v>
      </c>
      <c r="N183" s="9">
        <v>16267</v>
      </c>
      <c r="O183" s="43">
        <f>'[8]6153LED'!$J$9</f>
        <v>33721.279999999999</v>
      </c>
      <c r="P183" s="39">
        <v>0</v>
      </c>
      <c r="Q183" s="38">
        <f>'[7]6115REV'!$J$9</f>
        <v>0</v>
      </c>
    </row>
    <row r="184" spans="1:17" x14ac:dyDescent="0.25">
      <c r="A184" s="3" t="s">
        <v>753</v>
      </c>
      <c r="B184" s="3" t="s">
        <v>11</v>
      </c>
      <c r="C184" s="3" t="s">
        <v>12</v>
      </c>
      <c r="D184" s="3" t="s">
        <v>41</v>
      </c>
      <c r="E184" s="3" t="s">
        <v>69</v>
      </c>
      <c r="F184" s="3" t="s">
        <v>15</v>
      </c>
      <c r="G184" s="3" t="s">
        <v>16</v>
      </c>
      <c r="H184" s="3" t="s">
        <v>720</v>
      </c>
      <c r="I184" s="4" t="s">
        <v>18</v>
      </c>
      <c r="J184" s="4">
        <v>3</v>
      </c>
      <c r="K184" s="4"/>
      <c r="L184" s="12">
        <v>311382</v>
      </c>
      <c r="M184" s="13">
        <v>310015</v>
      </c>
      <c r="N184" s="9">
        <v>310015</v>
      </c>
      <c r="O184" s="43">
        <f>'[6]6153LED'!$K$9</f>
        <v>333805.99482647999</v>
      </c>
      <c r="P184" s="39">
        <v>75511.14</v>
      </c>
      <c r="Q184" s="38">
        <f>'[7]6115REV'!$K$9</f>
        <v>0</v>
      </c>
    </row>
    <row r="185" spans="1:17" x14ac:dyDescent="0.25">
      <c r="A185" s="3" t="s">
        <v>752</v>
      </c>
      <c r="B185" s="3" t="s">
        <v>11</v>
      </c>
      <c r="C185" s="3" t="s">
        <v>12</v>
      </c>
      <c r="D185" s="3" t="s">
        <v>36</v>
      </c>
      <c r="E185" s="3" t="s">
        <v>69</v>
      </c>
      <c r="F185" s="3" t="s">
        <v>15</v>
      </c>
      <c r="G185" s="3" t="s">
        <v>16</v>
      </c>
      <c r="H185" s="3" t="s">
        <v>720</v>
      </c>
      <c r="I185" s="4" t="s">
        <v>18</v>
      </c>
      <c r="J185" s="4">
        <v>3</v>
      </c>
      <c r="K185" s="4"/>
      <c r="L185" s="12">
        <v>51883</v>
      </c>
      <c r="M185" s="13">
        <v>56923</v>
      </c>
      <c r="N185" s="9">
        <v>56923</v>
      </c>
      <c r="O185" s="43">
        <f>'[8]6153LED'!$L$9</f>
        <v>58032.000000000007</v>
      </c>
      <c r="P185" s="39">
        <v>12525.6</v>
      </c>
      <c r="Q185" s="38">
        <f>'[7]6115REV'!$L$9</f>
        <v>0</v>
      </c>
    </row>
    <row r="186" spans="1:17" x14ac:dyDescent="0.25">
      <c r="A186" s="3" t="s">
        <v>759</v>
      </c>
      <c r="B186" s="3" t="s">
        <v>11</v>
      </c>
      <c r="C186" s="3" t="s">
        <v>12</v>
      </c>
      <c r="D186" s="3" t="s">
        <v>47</v>
      </c>
      <c r="E186" s="3" t="s">
        <v>69</v>
      </c>
      <c r="F186" s="3" t="s">
        <v>15</v>
      </c>
      <c r="G186" s="3" t="s">
        <v>16</v>
      </c>
      <c r="H186" s="3" t="s">
        <v>720</v>
      </c>
      <c r="I186" s="4" t="s">
        <v>18</v>
      </c>
      <c r="J186" s="4">
        <v>3</v>
      </c>
      <c r="K186" s="4"/>
      <c r="L186" s="12">
        <v>191634</v>
      </c>
      <c r="M186" s="13">
        <v>189544</v>
      </c>
      <c r="N186" s="9">
        <v>189544</v>
      </c>
      <c r="O186" s="43">
        <f>'[8]6153LED'!$M$9</f>
        <v>204473.27999999997</v>
      </c>
      <c r="P186" s="39">
        <v>51022.5</v>
      </c>
      <c r="Q186" s="38">
        <f>'[7]6115REV'!$M$9</f>
        <v>0</v>
      </c>
    </row>
    <row r="187" spans="1:17" x14ac:dyDescent="0.25">
      <c r="A187" s="3" t="s">
        <v>772</v>
      </c>
      <c r="B187" s="3" t="s">
        <v>11</v>
      </c>
      <c r="C187" s="3" t="s">
        <v>12</v>
      </c>
      <c r="D187" s="3" t="s">
        <v>45</v>
      </c>
      <c r="E187" s="3" t="s">
        <v>719</v>
      </c>
      <c r="F187" s="3" t="s">
        <v>37</v>
      </c>
      <c r="G187" s="3" t="s">
        <v>16</v>
      </c>
      <c r="H187" s="3" t="s">
        <v>720</v>
      </c>
      <c r="I187" s="4" t="s">
        <v>38</v>
      </c>
      <c r="J187" s="4">
        <v>3</v>
      </c>
      <c r="K187" s="4"/>
      <c r="L187" s="12">
        <v>8000</v>
      </c>
      <c r="M187" s="13">
        <v>8900</v>
      </c>
      <c r="N187" s="9">
        <v>8900</v>
      </c>
      <c r="O187" s="43">
        <f>'[8]6153LED'!$N$9</f>
        <v>12000</v>
      </c>
      <c r="P187" s="39">
        <v>3195</v>
      </c>
      <c r="Q187" s="38">
        <f>'[7]6115REV'!$N$9</f>
        <v>0</v>
      </c>
    </row>
    <row r="188" spans="1:17" x14ac:dyDescent="0.25">
      <c r="A188" s="3" t="s">
        <v>751</v>
      </c>
      <c r="B188" s="3" t="s">
        <v>11</v>
      </c>
      <c r="C188" s="3" t="s">
        <v>12</v>
      </c>
      <c r="D188" s="3" t="s">
        <v>151</v>
      </c>
      <c r="E188" s="3" t="s">
        <v>69</v>
      </c>
      <c r="F188" s="3" t="s">
        <v>15</v>
      </c>
      <c r="G188" s="3" t="s">
        <v>16</v>
      </c>
      <c r="H188" s="3" t="s">
        <v>720</v>
      </c>
      <c r="I188" s="4" t="s">
        <v>18</v>
      </c>
      <c r="J188" s="4">
        <v>3</v>
      </c>
      <c r="K188" s="4"/>
      <c r="L188" s="12">
        <v>594</v>
      </c>
      <c r="M188" s="13">
        <v>627</v>
      </c>
      <c r="N188" s="9">
        <v>627</v>
      </c>
      <c r="O188" s="43">
        <f>'[8]6153LED'!$R$9</f>
        <v>630</v>
      </c>
      <c r="P188" s="39">
        <v>139.80000000000001</v>
      </c>
      <c r="Q188" s="38">
        <f>'[7]6115REV'!$R$9</f>
        <v>0</v>
      </c>
    </row>
    <row r="189" spans="1:17" x14ac:dyDescent="0.25">
      <c r="A189" s="3" t="s">
        <v>758</v>
      </c>
      <c r="B189" s="3" t="s">
        <v>11</v>
      </c>
      <c r="C189" s="3" t="s">
        <v>12</v>
      </c>
      <c r="D189" s="3" t="s">
        <v>156</v>
      </c>
      <c r="E189" s="3" t="s">
        <v>719</v>
      </c>
      <c r="F189" s="3" t="s">
        <v>37</v>
      </c>
      <c r="G189" s="3" t="s">
        <v>16</v>
      </c>
      <c r="H189" s="3" t="s">
        <v>720</v>
      </c>
      <c r="I189" s="4" t="s">
        <v>38</v>
      </c>
      <c r="J189" s="4">
        <v>1</v>
      </c>
      <c r="K189" s="4"/>
      <c r="L189" s="12">
        <v>0</v>
      </c>
      <c r="M189" s="13">
        <v>0</v>
      </c>
      <c r="N189" s="9">
        <v>0</v>
      </c>
      <c r="O189" s="43">
        <f>'[8]6153LED'!$P$9</f>
        <v>0</v>
      </c>
      <c r="P189" s="39"/>
      <c r="Q189" s="38">
        <v>0</v>
      </c>
    </row>
    <row r="190" spans="1:17" x14ac:dyDescent="0.25">
      <c r="A190" s="3" t="s">
        <v>750</v>
      </c>
      <c r="B190" s="3" t="s">
        <v>11</v>
      </c>
      <c r="C190" s="3" t="s">
        <v>12</v>
      </c>
      <c r="D190" s="3" t="s">
        <v>30</v>
      </c>
      <c r="E190" s="3" t="s">
        <v>69</v>
      </c>
      <c r="F190" s="3" t="s">
        <v>15</v>
      </c>
      <c r="G190" s="3" t="s">
        <v>16</v>
      </c>
      <c r="H190" s="3" t="s">
        <v>720</v>
      </c>
      <c r="I190" s="4" t="s">
        <v>18</v>
      </c>
      <c r="J190" s="4">
        <v>3</v>
      </c>
      <c r="K190" s="4"/>
      <c r="L190" s="12">
        <v>14154</v>
      </c>
      <c r="M190" s="13">
        <v>15554</v>
      </c>
      <c r="N190" s="9">
        <v>15554</v>
      </c>
      <c r="O190" s="43">
        <f>'[6]6153LED'!$Q$9</f>
        <v>15172.999764839999</v>
      </c>
      <c r="P190" s="39">
        <v>4193.0600000000004</v>
      </c>
      <c r="Q190" s="38">
        <f>'[7]6115REV'!$Q$9</f>
        <v>0</v>
      </c>
    </row>
    <row r="191" spans="1:17" x14ac:dyDescent="0.25">
      <c r="A191" s="3" t="s">
        <v>754</v>
      </c>
      <c r="B191" s="3" t="s">
        <v>11</v>
      </c>
      <c r="C191" s="3" t="s">
        <v>12</v>
      </c>
      <c r="D191" s="3" t="s">
        <v>43</v>
      </c>
      <c r="E191" s="3" t="s">
        <v>69</v>
      </c>
      <c r="F191" s="3" t="s">
        <v>15</v>
      </c>
      <c r="G191" s="3" t="s">
        <v>16</v>
      </c>
      <c r="H191" s="3" t="s">
        <v>720</v>
      </c>
      <c r="I191" s="4" t="s">
        <v>18</v>
      </c>
      <c r="J191" s="4">
        <v>3</v>
      </c>
      <c r="K191" s="4"/>
      <c r="L191" s="12">
        <v>8834</v>
      </c>
      <c r="M191" s="13">
        <v>11349</v>
      </c>
      <c r="N191" s="9">
        <v>11349</v>
      </c>
      <c r="O191" s="43">
        <f>'[6]6153LED'!$T$9</f>
        <v>8930.5095695999989</v>
      </c>
      <c r="P191" s="39">
        <v>2230.8000000000002</v>
      </c>
      <c r="Q191" s="38">
        <f>'[7]6115REV'!$T$9</f>
        <v>0</v>
      </c>
    </row>
    <row r="192" spans="1:17" x14ac:dyDescent="0.25">
      <c r="A192" s="3" t="s">
        <v>775</v>
      </c>
      <c r="B192" s="3" t="s">
        <v>11</v>
      </c>
      <c r="C192" s="3" t="s">
        <v>12</v>
      </c>
      <c r="D192" s="3" t="s">
        <v>162</v>
      </c>
      <c r="E192" s="3" t="s">
        <v>719</v>
      </c>
      <c r="F192" s="3" t="s">
        <v>37</v>
      </c>
      <c r="G192" s="3" t="s">
        <v>16</v>
      </c>
      <c r="H192" s="3" t="s">
        <v>720</v>
      </c>
      <c r="I192" s="4" t="s">
        <v>38</v>
      </c>
      <c r="J192" s="4">
        <v>1</v>
      </c>
      <c r="K192" s="4"/>
      <c r="L192" s="12">
        <v>0</v>
      </c>
      <c r="M192" s="13">
        <v>20342</v>
      </c>
      <c r="N192" s="9">
        <v>20342</v>
      </c>
      <c r="O192" s="43">
        <v>0</v>
      </c>
      <c r="P192" s="39"/>
      <c r="Q192" s="38">
        <v>0</v>
      </c>
    </row>
    <row r="193" spans="1:17" x14ac:dyDescent="0.25">
      <c r="A193" s="3" t="s">
        <v>741</v>
      </c>
      <c r="B193" s="3" t="s">
        <v>11</v>
      </c>
      <c r="C193" s="3" t="s">
        <v>12</v>
      </c>
      <c r="D193" s="3" t="s">
        <v>157</v>
      </c>
      <c r="E193" s="3" t="s">
        <v>69</v>
      </c>
      <c r="F193" s="3" t="s">
        <v>15</v>
      </c>
      <c r="G193" s="3" t="s">
        <v>16</v>
      </c>
      <c r="H193" s="3" t="s">
        <v>732</v>
      </c>
      <c r="I193" s="4" t="s">
        <v>18</v>
      </c>
      <c r="J193" s="4">
        <v>3</v>
      </c>
      <c r="K193" s="4"/>
      <c r="L193" s="12">
        <v>1295304.58</v>
      </c>
      <c r="M193" s="13">
        <v>1289918</v>
      </c>
      <c r="N193" s="9">
        <v>1289918</v>
      </c>
      <c r="O193" s="43">
        <f>'[6]6151STRAT'!$E$6</f>
        <v>1388583.564858</v>
      </c>
      <c r="P193" s="39">
        <v>347145.9</v>
      </c>
      <c r="Q193" s="39">
        <f>'[7]6115REV'!$E$6</f>
        <v>60154.565399999992</v>
      </c>
    </row>
    <row r="194" spans="1:17" x14ac:dyDescent="0.25">
      <c r="A194" s="3" t="s">
        <v>737</v>
      </c>
      <c r="B194" s="3" t="s">
        <v>11</v>
      </c>
      <c r="C194" s="3" t="s">
        <v>12</v>
      </c>
      <c r="D194" s="3" t="s">
        <v>86</v>
      </c>
      <c r="E194" s="3" t="s">
        <v>719</v>
      </c>
      <c r="F194" s="3" t="s">
        <v>37</v>
      </c>
      <c r="G194" s="3" t="s">
        <v>16</v>
      </c>
      <c r="H194" s="3" t="s">
        <v>732</v>
      </c>
      <c r="I194" s="4" t="s">
        <v>38</v>
      </c>
      <c r="J194" s="4">
        <v>1</v>
      </c>
      <c r="K194" s="4"/>
      <c r="L194" s="12">
        <v>0</v>
      </c>
      <c r="M194" s="13">
        <v>0</v>
      </c>
      <c r="N194" s="9">
        <v>0</v>
      </c>
      <c r="O194" s="43">
        <f>'[8]6151STRAT'!$G$6</f>
        <v>0</v>
      </c>
      <c r="P194" s="39"/>
      <c r="Q194" s="38">
        <v>0</v>
      </c>
    </row>
    <row r="195" spans="1:17" x14ac:dyDescent="0.25">
      <c r="A195" s="3" t="s">
        <v>738</v>
      </c>
      <c r="B195" s="3" t="s">
        <v>11</v>
      </c>
      <c r="C195" s="3" t="s">
        <v>12</v>
      </c>
      <c r="D195" s="3" t="s">
        <v>153</v>
      </c>
      <c r="E195" s="3" t="s">
        <v>69</v>
      </c>
      <c r="F195" s="3" t="s">
        <v>15</v>
      </c>
      <c r="G195" s="3" t="s">
        <v>16</v>
      </c>
      <c r="H195" s="3" t="s">
        <v>732</v>
      </c>
      <c r="I195" s="4" t="s">
        <v>18</v>
      </c>
      <c r="J195" s="4">
        <v>3</v>
      </c>
      <c r="K195" s="4"/>
      <c r="L195" s="12">
        <v>107942</v>
      </c>
      <c r="M195" s="13">
        <v>108653</v>
      </c>
      <c r="N195" s="9">
        <v>108653</v>
      </c>
      <c r="O195" s="43">
        <f>'[6]6151STRAT'!$I$6</f>
        <v>115715.29707149998</v>
      </c>
      <c r="P195" s="39">
        <v>0</v>
      </c>
      <c r="Q195" s="38">
        <f>'[7]6115REV'!$I$6</f>
        <v>12030.913079999998</v>
      </c>
    </row>
    <row r="196" spans="1:17" x14ac:dyDescent="0.25">
      <c r="A196" s="3" t="s">
        <v>1655</v>
      </c>
      <c r="B196" s="3"/>
      <c r="C196" s="3"/>
      <c r="D196" s="3"/>
      <c r="E196" s="3"/>
      <c r="F196" s="3"/>
      <c r="G196" s="3"/>
      <c r="H196" s="3"/>
      <c r="I196" s="4"/>
      <c r="J196" s="4"/>
      <c r="K196" s="4"/>
      <c r="L196" s="12"/>
      <c r="M196" s="13"/>
      <c r="N196" s="9"/>
      <c r="O196" s="43"/>
      <c r="P196" s="39"/>
      <c r="Q196" s="38"/>
    </row>
    <row r="197" spans="1:17" x14ac:dyDescent="0.25">
      <c r="A197" s="3" t="s">
        <v>735</v>
      </c>
      <c r="B197" s="3" t="s">
        <v>11</v>
      </c>
      <c r="C197" s="3" t="s">
        <v>12</v>
      </c>
      <c r="D197" s="3" t="s">
        <v>41</v>
      </c>
      <c r="E197" s="3" t="s">
        <v>69</v>
      </c>
      <c r="F197" s="3" t="s">
        <v>15</v>
      </c>
      <c r="G197" s="3" t="s">
        <v>16</v>
      </c>
      <c r="H197" s="3" t="s">
        <v>732</v>
      </c>
      <c r="I197" s="4" t="s">
        <v>18</v>
      </c>
      <c r="J197" s="4">
        <v>3</v>
      </c>
      <c r="K197" s="4"/>
      <c r="L197" s="12">
        <v>284967</v>
      </c>
      <c r="M197" s="13">
        <v>283716</v>
      </c>
      <c r="N197" s="9">
        <v>283716</v>
      </c>
      <c r="O197" s="43">
        <f>'[6]6151STRAT'!$K$6</f>
        <v>305488.38426875998</v>
      </c>
      <c r="P197" s="39">
        <v>76372.11</v>
      </c>
      <c r="Q197" s="38">
        <f>'[7]6115REV'!$K$6</f>
        <v>13234.004387999998</v>
      </c>
    </row>
    <row r="198" spans="1:17" x14ac:dyDescent="0.25">
      <c r="A198" s="3" t="s">
        <v>734</v>
      </c>
      <c r="B198" s="3" t="s">
        <v>11</v>
      </c>
      <c r="C198" s="3" t="s">
        <v>12</v>
      </c>
      <c r="D198" s="3" t="s">
        <v>36</v>
      </c>
      <c r="E198" s="3" t="s">
        <v>69</v>
      </c>
      <c r="F198" s="3" t="s">
        <v>15</v>
      </c>
      <c r="G198" s="3" t="s">
        <v>16</v>
      </c>
      <c r="H198" s="3" t="s">
        <v>732</v>
      </c>
      <c r="I198" s="4" t="s">
        <v>18</v>
      </c>
      <c r="J198" s="4">
        <v>3</v>
      </c>
      <c r="K198" s="4"/>
      <c r="L198" s="12">
        <v>61090</v>
      </c>
      <c r="M198" s="13">
        <v>16402</v>
      </c>
      <c r="N198" s="9">
        <v>16402</v>
      </c>
      <c r="O198" s="43">
        <f>'[8]6151STRAT'!$L$6</f>
        <v>17071.199999999997</v>
      </c>
      <c r="P198" s="39">
        <v>4267.8</v>
      </c>
      <c r="Q198" s="38">
        <f>'[7]6115REV'!$L$6</f>
        <v>0</v>
      </c>
    </row>
    <row r="199" spans="1:17" x14ac:dyDescent="0.25">
      <c r="A199" s="3" t="s">
        <v>740</v>
      </c>
      <c r="B199" s="3" t="s">
        <v>11</v>
      </c>
      <c r="C199" s="3" t="s">
        <v>12</v>
      </c>
      <c r="D199" s="3" t="s">
        <v>47</v>
      </c>
      <c r="E199" s="3" t="s">
        <v>69</v>
      </c>
      <c r="F199" s="3" t="s">
        <v>15</v>
      </c>
      <c r="G199" s="3" t="s">
        <v>16</v>
      </c>
      <c r="H199" s="3" t="s">
        <v>732</v>
      </c>
      <c r="I199" s="4" t="s">
        <v>18</v>
      </c>
      <c r="J199" s="4">
        <v>3</v>
      </c>
      <c r="K199" s="4"/>
      <c r="L199" s="12">
        <v>491385</v>
      </c>
      <c r="M199" s="13">
        <v>486028</v>
      </c>
      <c r="N199" s="9">
        <v>486028</v>
      </c>
      <c r="O199" s="43">
        <f>'[8]6151STRAT'!$M$6</f>
        <v>524308.19999999995</v>
      </c>
      <c r="P199" s="39">
        <v>130831.35</v>
      </c>
      <c r="Q199" s="38">
        <f>'[7]6115REV'!$M$6</f>
        <v>0</v>
      </c>
    </row>
    <row r="200" spans="1:17" x14ac:dyDescent="0.25">
      <c r="A200" s="3" t="s">
        <v>749</v>
      </c>
      <c r="B200" s="3" t="s">
        <v>11</v>
      </c>
      <c r="C200" s="3" t="s">
        <v>12</v>
      </c>
      <c r="D200" s="3" t="s">
        <v>45</v>
      </c>
      <c r="E200" s="3" t="s">
        <v>719</v>
      </c>
      <c r="F200" s="3" t="s">
        <v>37</v>
      </c>
      <c r="G200" s="3" t="s">
        <v>16</v>
      </c>
      <c r="H200" s="3" t="s">
        <v>732</v>
      </c>
      <c r="I200" s="4" t="s">
        <v>38</v>
      </c>
      <c r="J200" s="4">
        <v>3</v>
      </c>
      <c r="K200" s="4"/>
      <c r="L200" s="12">
        <v>12800</v>
      </c>
      <c r="M200" s="13">
        <v>16400</v>
      </c>
      <c r="N200" s="9">
        <v>16400</v>
      </c>
      <c r="O200" s="43">
        <f>'[8]6151STRAT'!$N$6</f>
        <v>19200</v>
      </c>
      <c r="P200" s="39">
        <v>7668</v>
      </c>
      <c r="Q200" s="38">
        <f>'[7]6115REV'!$N$6</f>
        <v>0</v>
      </c>
    </row>
    <row r="201" spans="1:17" x14ac:dyDescent="0.25">
      <c r="A201" s="3" t="s">
        <v>733</v>
      </c>
      <c r="B201" s="3" t="s">
        <v>11</v>
      </c>
      <c r="C201" s="3" t="s">
        <v>12</v>
      </c>
      <c r="D201" s="3" t="s">
        <v>151</v>
      </c>
      <c r="E201" s="3" t="s">
        <v>69</v>
      </c>
      <c r="F201" s="3" t="s">
        <v>15</v>
      </c>
      <c r="G201" s="3" t="s">
        <v>16</v>
      </c>
      <c r="H201" s="3" t="s">
        <v>732</v>
      </c>
      <c r="I201" s="4" t="s">
        <v>18</v>
      </c>
      <c r="J201" s="4">
        <v>3</v>
      </c>
      <c r="K201" s="4"/>
      <c r="L201" s="12">
        <v>297</v>
      </c>
      <c r="M201" s="13">
        <v>314</v>
      </c>
      <c r="N201" s="9">
        <v>314</v>
      </c>
      <c r="O201" s="43">
        <f>'[8]6151STRAT'!$R$6</f>
        <v>315</v>
      </c>
      <c r="P201" s="39">
        <v>83.88</v>
      </c>
      <c r="Q201" s="38">
        <f>'[7]6115REV'!$R$6</f>
        <v>43.75</v>
      </c>
    </row>
    <row r="202" spans="1:17" x14ac:dyDescent="0.25">
      <c r="A202" s="3" t="s">
        <v>731</v>
      </c>
      <c r="B202" s="3" t="s">
        <v>11</v>
      </c>
      <c r="C202" s="3" t="s">
        <v>12</v>
      </c>
      <c r="D202" s="3" t="s">
        <v>30</v>
      </c>
      <c r="E202" s="3" t="s">
        <v>69</v>
      </c>
      <c r="F202" s="3" t="s">
        <v>15</v>
      </c>
      <c r="G202" s="3" t="s">
        <v>16</v>
      </c>
      <c r="H202" s="3" t="s">
        <v>732</v>
      </c>
      <c r="I202" s="4" t="s">
        <v>18</v>
      </c>
      <c r="J202" s="4">
        <v>3</v>
      </c>
      <c r="K202" s="4"/>
      <c r="L202" s="12">
        <v>12953</v>
      </c>
      <c r="M202" s="13">
        <v>15153</v>
      </c>
      <c r="N202" s="9">
        <v>15153</v>
      </c>
      <c r="O202" s="43">
        <f>'[6]6151STRAT'!$Q$6</f>
        <v>13885.835648580001</v>
      </c>
      <c r="P202" s="39">
        <v>4449.03</v>
      </c>
      <c r="Q202" s="38">
        <f>'[7]6115REV'!$Q$6</f>
        <v>601.5456539999999</v>
      </c>
    </row>
    <row r="203" spans="1:17" x14ac:dyDescent="0.25">
      <c r="A203" s="3" t="s">
        <v>736</v>
      </c>
      <c r="B203" s="3" t="s">
        <v>11</v>
      </c>
      <c r="C203" s="3" t="s">
        <v>12</v>
      </c>
      <c r="D203" s="3" t="s">
        <v>43</v>
      </c>
      <c r="E203" s="3" t="s">
        <v>69</v>
      </c>
      <c r="F203" s="3" t="s">
        <v>15</v>
      </c>
      <c r="G203" s="3" t="s">
        <v>16</v>
      </c>
      <c r="H203" s="3" t="s">
        <v>732</v>
      </c>
      <c r="I203" s="4" t="s">
        <v>18</v>
      </c>
      <c r="J203" s="4">
        <v>3</v>
      </c>
      <c r="K203" s="4"/>
      <c r="L203" s="12">
        <v>4492</v>
      </c>
      <c r="M203" s="13">
        <v>7169</v>
      </c>
      <c r="N203" s="9">
        <v>7169</v>
      </c>
      <c r="O203" s="43">
        <f>'[6]6151STRAT'!$T$6</f>
        <v>4492.08</v>
      </c>
      <c r="P203" s="39">
        <v>1338.48</v>
      </c>
      <c r="Q203" s="38">
        <f>'[7]6115REV'!$T$6</f>
        <v>601.5456539999999</v>
      </c>
    </row>
    <row r="204" spans="1:17" x14ac:dyDescent="0.25">
      <c r="A204" s="3" t="s">
        <v>790</v>
      </c>
      <c r="B204" s="3" t="s">
        <v>11</v>
      </c>
      <c r="C204" s="3" t="s">
        <v>12</v>
      </c>
      <c r="D204" s="3" t="s">
        <v>157</v>
      </c>
      <c r="E204" s="3" t="s">
        <v>797</v>
      </c>
      <c r="F204" s="3" t="s">
        <v>15</v>
      </c>
      <c r="G204" s="3" t="s">
        <v>16</v>
      </c>
      <c r="H204" s="3" t="s">
        <v>784</v>
      </c>
      <c r="I204" s="4" t="s">
        <v>18</v>
      </c>
      <c r="J204" s="4">
        <v>3</v>
      </c>
      <c r="K204" s="4"/>
      <c r="L204" s="12">
        <v>1101591</v>
      </c>
      <c r="M204" s="13">
        <v>1113514</v>
      </c>
      <c r="N204" s="9">
        <v>1113514</v>
      </c>
      <c r="O204" s="43">
        <f>'[6]6121PAYROLL'!$E$7</f>
        <v>1198749.6864</v>
      </c>
      <c r="P204" s="39">
        <v>301738.92</v>
      </c>
      <c r="Q204" s="43">
        <f>'[7]6115REV'!$E$7</f>
        <v>44818.629300000001</v>
      </c>
    </row>
    <row r="205" spans="1:17" x14ac:dyDescent="0.25">
      <c r="A205" s="3" t="s">
        <v>792</v>
      </c>
      <c r="B205" s="3" t="s">
        <v>11</v>
      </c>
      <c r="C205" s="3" t="s">
        <v>12</v>
      </c>
      <c r="D205" s="3" t="s">
        <v>1638</v>
      </c>
      <c r="E205" s="3" t="s">
        <v>797</v>
      </c>
      <c r="F205" s="3" t="s">
        <v>15</v>
      </c>
      <c r="G205" s="3" t="s">
        <v>16</v>
      </c>
      <c r="H205" s="3" t="s">
        <v>784</v>
      </c>
      <c r="I205" s="4" t="s">
        <v>18</v>
      </c>
      <c r="J205" s="4">
        <v>3</v>
      </c>
      <c r="K205" s="4"/>
      <c r="L205" s="12">
        <v>45000</v>
      </c>
      <c r="M205" s="13">
        <v>45000</v>
      </c>
      <c r="N205" s="9">
        <v>45000</v>
      </c>
      <c r="O205" s="43">
        <v>22500</v>
      </c>
      <c r="P205" s="39">
        <v>26742.799999999999</v>
      </c>
      <c r="Q205" s="43">
        <v>22500</v>
      </c>
    </row>
    <row r="206" spans="1:17" x14ac:dyDescent="0.25">
      <c r="A206" s="3" t="s">
        <v>791</v>
      </c>
      <c r="B206" s="3" t="s">
        <v>11</v>
      </c>
      <c r="C206" s="3" t="s">
        <v>12</v>
      </c>
      <c r="D206" s="3" t="s">
        <v>153</v>
      </c>
      <c r="E206" s="3" t="s">
        <v>797</v>
      </c>
      <c r="F206" s="3" t="s">
        <v>15</v>
      </c>
      <c r="G206" s="3" t="s">
        <v>16</v>
      </c>
      <c r="H206" s="3" t="s">
        <v>784</v>
      </c>
      <c r="I206" s="4" t="s">
        <v>18</v>
      </c>
      <c r="J206" s="4">
        <v>3</v>
      </c>
      <c r="K206" s="4"/>
      <c r="L206" s="12">
        <v>91799</v>
      </c>
      <c r="M206" s="13">
        <v>93799</v>
      </c>
      <c r="N206" s="9">
        <v>93799</v>
      </c>
      <c r="O206" s="43">
        <f>'[6]6121PAYROLL'!$I$7</f>
        <v>99895.80720000001</v>
      </c>
      <c r="P206" s="39">
        <v>0</v>
      </c>
      <c r="Q206" s="43">
        <f>'[7]6115REV'!$I$7</f>
        <v>14939.543100000001</v>
      </c>
    </row>
    <row r="207" spans="1:17" x14ac:dyDescent="0.25">
      <c r="A207" s="3" t="s">
        <v>793</v>
      </c>
      <c r="B207" s="3" t="s">
        <v>11</v>
      </c>
      <c r="C207" s="3" t="s">
        <v>12</v>
      </c>
      <c r="D207" s="3" t="s">
        <v>41</v>
      </c>
      <c r="E207" s="3" t="s">
        <v>797</v>
      </c>
      <c r="F207" s="3" t="s">
        <v>15</v>
      </c>
      <c r="G207" s="3" t="s">
        <v>16</v>
      </c>
      <c r="H207" s="3" t="s">
        <v>784</v>
      </c>
      <c r="I207" s="4" t="s">
        <v>18</v>
      </c>
      <c r="J207" s="4">
        <v>3</v>
      </c>
      <c r="K207" s="4"/>
      <c r="L207" s="12">
        <v>242350</v>
      </c>
      <c r="M207" s="13">
        <v>237770</v>
      </c>
      <c r="N207" s="9">
        <v>237770</v>
      </c>
      <c r="O207" s="43">
        <f>'[6]6121PAYROLL'!$K$7</f>
        <v>263724.93100799999</v>
      </c>
      <c r="P207" s="39">
        <v>62403.12</v>
      </c>
      <c r="Q207" s="43">
        <f>'[7]6115REV'!$K$7</f>
        <v>9860.098446</v>
      </c>
    </row>
    <row r="208" spans="1:17" x14ac:dyDescent="0.25">
      <c r="A208" s="3" t="s">
        <v>794</v>
      </c>
      <c r="B208" s="3" t="s">
        <v>11</v>
      </c>
      <c r="C208" s="3" t="s">
        <v>12</v>
      </c>
      <c r="D208" s="3" t="s">
        <v>36</v>
      </c>
      <c r="E208" s="3" t="s">
        <v>797</v>
      </c>
      <c r="F208" s="3" t="s">
        <v>15</v>
      </c>
      <c r="G208" s="3" t="s">
        <v>16</v>
      </c>
      <c r="H208" s="3" t="s">
        <v>784</v>
      </c>
      <c r="I208" s="4" t="s">
        <v>18</v>
      </c>
      <c r="J208" s="4">
        <v>3</v>
      </c>
      <c r="K208" s="4"/>
      <c r="L208" s="12">
        <v>87840</v>
      </c>
      <c r="M208" s="13">
        <v>105631</v>
      </c>
      <c r="N208" s="9">
        <v>105631</v>
      </c>
      <c r="O208" s="43">
        <f>'[8]6121PAYROLL'!$L$7</f>
        <v>107690.4</v>
      </c>
      <c r="P208" s="39">
        <v>28376.1</v>
      </c>
      <c r="Q208" s="43">
        <f>'[7]6115REV'!$L$7</f>
        <v>0</v>
      </c>
    </row>
    <row r="209" spans="1:17" x14ac:dyDescent="0.25">
      <c r="A209" s="3" t="s">
        <v>1178</v>
      </c>
      <c r="B209" s="3" t="s">
        <v>11</v>
      </c>
      <c r="C209" s="3" t="s">
        <v>12</v>
      </c>
      <c r="D209" s="3" t="s">
        <v>47</v>
      </c>
      <c r="E209" s="3" t="s">
        <v>797</v>
      </c>
      <c r="F209" s="3" t="s">
        <v>15</v>
      </c>
      <c r="G209" s="3" t="s">
        <v>16</v>
      </c>
      <c r="H209" s="3" t="s">
        <v>784</v>
      </c>
      <c r="I209" s="4" t="s">
        <v>18</v>
      </c>
      <c r="J209" s="4">
        <v>3</v>
      </c>
      <c r="K209" s="4"/>
      <c r="L209" s="12">
        <v>156046</v>
      </c>
      <c r="M209" s="13">
        <v>154345</v>
      </c>
      <c r="N209" s="9">
        <v>154345</v>
      </c>
      <c r="O209" s="43">
        <f>'[8]6121PAYROLL'!$M$7</f>
        <v>166501.44</v>
      </c>
      <c r="P209" s="39">
        <v>41547.33</v>
      </c>
      <c r="Q209" s="43">
        <f>'[7]6115REV'!$M$7</f>
        <v>0</v>
      </c>
    </row>
    <row r="210" spans="1:17" x14ac:dyDescent="0.25">
      <c r="A210" s="3" t="s">
        <v>787</v>
      </c>
      <c r="B210" s="3" t="s">
        <v>11</v>
      </c>
      <c r="C210" s="3" t="s">
        <v>12</v>
      </c>
      <c r="D210" s="3" t="s">
        <v>45</v>
      </c>
      <c r="E210" s="3" t="s">
        <v>797</v>
      </c>
      <c r="F210" s="3" t="s">
        <v>37</v>
      </c>
      <c r="G210" s="3" t="s">
        <v>16</v>
      </c>
      <c r="H210" s="3" t="s">
        <v>784</v>
      </c>
      <c r="I210" s="4" t="s">
        <v>38</v>
      </c>
      <c r="J210" s="4">
        <v>3</v>
      </c>
      <c r="K210" s="4"/>
      <c r="L210" s="12">
        <v>6400</v>
      </c>
      <c r="M210" s="13">
        <v>7000</v>
      </c>
      <c r="N210" s="9">
        <v>7000</v>
      </c>
      <c r="O210" s="43">
        <f>'[8]6121PAYROLL'!$N$7</f>
        <v>9600</v>
      </c>
      <c r="P210" s="39">
        <v>2556</v>
      </c>
      <c r="Q210" s="43">
        <f>'[7]6115REV'!$N$7</f>
        <v>0</v>
      </c>
    </row>
    <row r="211" spans="1:17" x14ac:dyDescent="0.25">
      <c r="A211" s="3" t="s">
        <v>1179</v>
      </c>
      <c r="B211" s="3" t="s">
        <v>11</v>
      </c>
      <c r="C211" s="3" t="s">
        <v>12</v>
      </c>
      <c r="D211" s="3" t="s">
        <v>156</v>
      </c>
      <c r="E211" s="3" t="s">
        <v>797</v>
      </c>
      <c r="F211" s="3" t="s">
        <v>15</v>
      </c>
      <c r="G211" s="3" t="s">
        <v>16</v>
      </c>
      <c r="H211" s="3" t="s">
        <v>784</v>
      </c>
      <c r="I211" s="4" t="s">
        <v>18</v>
      </c>
      <c r="J211" s="4">
        <v>3</v>
      </c>
      <c r="K211" s="4"/>
      <c r="L211" s="12">
        <v>9559</v>
      </c>
      <c r="M211" s="13">
        <v>10117</v>
      </c>
      <c r="N211" s="9">
        <v>10117</v>
      </c>
      <c r="O211" s="43">
        <f>'[6]6121PAYROLL'!$P$7</f>
        <v>10893.24</v>
      </c>
      <c r="P211" s="39">
        <v>2723.31</v>
      </c>
      <c r="Q211" s="43">
        <f>'[7]6115REV'!$P$7</f>
        <v>0</v>
      </c>
    </row>
    <row r="212" spans="1:17" x14ac:dyDescent="0.25">
      <c r="A212" s="3" t="s">
        <v>1180</v>
      </c>
      <c r="B212" s="3" t="s">
        <v>11</v>
      </c>
      <c r="C212" s="3" t="s">
        <v>12</v>
      </c>
      <c r="D212" s="3" t="s">
        <v>151</v>
      </c>
      <c r="E212" s="3" t="s">
        <v>797</v>
      </c>
      <c r="F212" s="3" t="s">
        <v>15</v>
      </c>
      <c r="G212" s="3" t="s">
        <v>16</v>
      </c>
      <c r="H212" s="3" t="s">
        <v>784</v>
      </c>
      <c r="I212" s="4" t="s">
        <v>18</v>
      </c>
      <c r="J212" s="4">
        <v>3</v>
      </c>
      <c r="K212" s="4"/>
      <c r="L212" s="12">
        <v>396</v>
      </c>
      <c r="M212" s="13">
        <v>418</v>
      </c>
      <c r="N212" s="9">
        <v>418</v>
      </c>
      <c r="O212" s="43">
        <f>'[8]6121PAYROLL'!$R$7</f>
        <v>420</v>
      </c>
      <c r="P212" s="39">
        <v>111.84</v>
      </c>
      <c r="Q212" s="43">
        <f>'[7]6115REV'!$R$7</f>
        <v>26.25</v>
      </c>
    </row>
    <row r="213" spans="1:17" x14ac:dyDescent="0.25">
      <c r="A213" s="3" t="s">
        <v>1181</v>
      </c>
      <c r="B213" s="3" t="s">
        <v>11</v>
      </c>
      <c r="C213" s="3" t="s">
        <v>12</v>
      </c>
      <c r="D213" s="3" t="s">
        <v>30</v>
      </c>
      <c r="E213" s="3" t="s">
        <v>797</v>
      </c>
      <c r="F213" s="3" t="s">
        <v>15</v>
      </c>
      <c r="G213" s="3" t="s">
        <v>16</v>
      </c>
      <c r="H213" s="3" t="s">
        <v>784</v>
      </c>
      <c r="I213" s="4" t="s">
        <v>18</v>
      </c>
      <c r="J213" s="4">
        <v>3</v>
      </c>
      <c r="K213" s="4"/>
      <c r="L213" s="12">
        <v>11016</v>
      </c>
      <c r="M213" s="13">
        <v>12086</v>
      </c>
      <c r="N213" s="9">
        <v>12086</v>
      </c>
      <c r="O213" s="43">
        <f>'[6]6121PAYROLL'!$Q$7</f>
        <v>11987.496864000001</v>
      </c>
      <c r="P213" s="39">
        <v>3745.41</v>
      </c>
      <c r="Q213" s="43">
        <f>'[7]6115REV'!$Q$7</f>
        <v>448.18629300000003</v>
      </c>
    </row>
    <row r="214" spans="1:17" x14ac:dyDescent="0.25">
      <c r="A214" s="3" t="s">
        <v>1177</v>
      </c>
      <c r="B214" s="3" t="s">
        <v>11</v>
      </c>
      <c r="C214" s="3" t="s">
        <v>12</v>
      </c>
      <c r="D214" s="3" t="s">
        <v>43</v>
      </c>
      <c r="E214" s="3" t="s">
        <v>797</v>
      </c>
      <c r="F214" s="3" t="s">
        <v>15</v>
      </c>
      <c r="G214" s="3" t="s">
        <v>16</v>
      </c>
      <c r="H214" s="3" t="s">
        <v>784</v>
      </c>
      <c r="I214" s="4" t="s">
        <v>18</v>
      </c>
      <c r="J214" s="4">
        <v>3</v>
      </c>
      <c r="K214" s="4"/>
      <c r="L214" s="12">
        <v>5989</v>
      </c>
      <c r="M214" s="13">
        <v>8394</v>
      </c>
      <c r="N214" s="9">
        <v>8394</v>
      </c>
      <c r="O214" s="43">
        <f>'[6]6121PAYROLL'!$T$7</f>
        <v>5989.44</v>
      </c>
      <c r="P214" s="39">
        <v>1784.64</v>
      </c>
      <c r="Q214" s="43">
        <f>'[7]6115REV'!$T$7</f>
        <v>448.18629300000003</v>
      </c>
    </row>
    <row r="215" spans="1:17" x14ac:dyDescent="0.25">
      <c r="A215" s="3" t="s">
        <v>706</v>
      </c>
      <c r="B215" s="3" t="s">
        <v>11</v>
      </c>
      <c r="C215" s="3" t="s">
        <v>12</v>
      </c>
      <c r="D215" s="3" t="s">
        <v>157</v>
      </c>
      <c r="E215" s="3" t="s">
        <v>695</v>
      </c>
      <c r="F215" s="3" t="s">
        <v>15</v>
      </c>
      <c r="G215" s="3" t="s">
        <v>16</v>
      </c>
      <c r="H215" s="3" t="s">
        <v>560</v>
      </c>
      <c r="I215" s="4" t="s">
        <v>18</v>
      </c>
      <c r="J215" s="4">
        <v>3</v>
      </c>
      <c r="K215" s="4"/>
      <c r="L215" s="12">
        <v>2335922.6</v>
      </c>
      <c r="M215" s="13">
        <v>1070127</v>
      </c>
      <c r="N215" s="9">
        <v>1070127</v>
      </c>
      <c r="O215" s="43">
        <f>'[6]6119BUDGET'!$E$3+'[6]6119BUDGET'!$E$4+'[6]6119BUDGET'!$E$12+'[6]6119BUDGET'!$E$13</f>
        <v>1752315.5142000001</v>
      </c>
      <c r="P215" s="39">
        <v>241167.81</v>
      </c>
      <c r="Q215" s="57">
        <f>'[7]6115REV'!$E$15</f>
        <v>0</v>
      </c>
    </row>
    <row r="216" spans="1:17" x14ac:dyDescent="0.25">
      <c r="A216" s="3" t="s">
        <v>711</v>
      </c>
      <c r="B216" s="3" t="s">
        <v>11</v>
      </c>
      <c r="C216" s="3" t="s">
        <v>203</v>
      </c>
      <c r="D216" s="3" t="s">
        <v>157</v>
      </c>
      <c r="E216" s="3" t="s">
        <v>702</v>
      </c>
      <c r="F216" s="3" t="s">
        <v>37</v>
      </c>
      <c r="G216" s="3" t="s">
        <v>16</v>
      </c>
      <c r="H216" s="3" t="s">
        <v>560</v>
      </c>
      <c r="I216" s="4" t="s">
        <v>38</v>
      </c>
      <c r="J216" s="4">
        <v>1</v>
      </c>
      <c r="K216" s="4"/>
      <c r="L216" s="12">
        <v>0</v>
      </c>
      <c r="M216" s="13">
        <v>540000</v>
      </c>
      <c r="N216" s="9">
        <v>540000</v>
      </c>
      <c r="O216" s="39">
        <f>'[8]6119BUDGET'!$E$5+'[8]6119BUDGET'!$E$6+'[8]6119BUDGET'!$E$7+'[8]6119BUDGET'!$E$8+'[8]6119BUDGET'!$E$9+'[8]6119BUDGET'!$E$10+'[8]6119BUDGET'!$E$11</f>
        <v>630000</v>
      </c>
      <c r="P216" s="39">
        <v>110224.05</v>
      </c>
      <c r="Q216" s="38"/>
    </row>
    <row r="217" spans="1:17" x14ac:dyDescent="0.25">
      <c r="A217" s="3" t="s">
        <v>701</v>
      </c>
      <c r="B217" s="3" t="s">
        <v>11</v>
      </c>
      <c r="C217" s="3" t="s">
        <v>12</v>
      </c>
      <c r="D217" s="3" t="s">
        <v>86</v>
      </c>
      <c r="E217" s="3" t="s">
        <v>702</v>
      </c>
      <c r="F217" s="3" t="s">
        <v>37</v>
      </c>
      <c r="G217" s="3" t="s">
        <v>16</v>
      </c>
      <c r="H217" s="3" t="s">
        <v>560</v>
      </c>
      <c r="I217" s="4" t="s">
        <v>38</v>
      </c>
      <c r="J217" s="4">
        <v>1</v>
      </c>
      <c r="K217" s="4"/>
      <c r="L217" s="12">
        <v>0</v>
      </c>
      <c r="M217" s="13">
        <v>0</v>
      </c>
      <c r="N217" s="9">
        <v>0</v>
      </c>
      <c r="O217" s="39">
        <v>0</v>
      </c>
      <c r="P217" s="39"/>
      <c r="Q217" s="38"/>
    </row>
    <row r="218" spans="1:17" x14ac:dyDescent="0.25">
      <c r="A218" s="3" t="s">
        <v>700</v>
      </c>
      <c r="B218" s="3" t="s">
        <v>11</v>
      </c>
      <c r="C218" s="3" t="s">
        <v>12</v>
      </c>
      <c r="D218" s="3" t="s">
        <v>1630</v>
      </c>
      <c r="E218" s="3" t="s">
        <v>695</v>
      </c>
      <c r="F218" s="3" t="s">
        <v>15</v>
      </c>
      <c r="G218" s="3" t="s">
        <v>16</v>
      </c>
      <c r="H218" s="3" t="s">
        <v>560</v>
      </c>
      <c r="I218" s="4" t="s">
        <v>18</v>
      </c>
      <c r="J218" s="4">
        <v>3</v>
      </c>
      <c r="K218" s="4"/>
      <c r="L218" s="12">
        <v>60000</v>
      </c>
      <c r="M218" s="13">
        <v>75000</v>
      </c>
      <c r="N218" s="9">
        <v>75000</v>
      </c>
      <c r="O218" s="39">
        <v>37500</v>
      </c>
      <c r="P218" s="39">
        <v>24659</v>
      </c>
      <c r="Q218" s="39">
        <v>37500</v>
      </c>
    </row>
    <row r="219" spans="1:17" x14ac:dyDescent="0.25">
      <c r="A219" s="3" t="s">
        <v>703</v>
      </c>
      <c r="B219" s="3" t="s">
        <v>11</v>
      </c>
      <c r="C219" s="3" t="s">
        <v>12</v>
      </c>
      <c r="D219" s="3" t="s">
        <v>153</v>
      </c>
      <c r="E219" s="3" t="s">
        <v>695</v>
      </c>
      <c r="F219" s="3" t="s">
        <v>15</v>
      </c>
      <c r="G219" s="3" t="s">
        <v>16</v>
      </c>
      <c r="H219" s="3" t="s">
        <v>560</v>
      </c>
      <c r="I219" s="4" t="s">
        <v>18</v>
      </c>
      <c r="J219" s="4">
        <v>3</v>
      </c>
      <c r="K219" s="4"/>
      <c r="L219" s="12">
        <v>138852.72</v>
      </c>
      <c r="M219" s="13">
        <v>98020</v>
      </c>
      <c r="N219" s="9">
        <v>98020</v>
      </c>
      <c r="O219" s="43">
        <f>'[6]6119BUDGET'!$I$15</f>
        <v>146026.29285</v>
      </c>
      <c r="P219" s="39">
        <v>74221.62</v>
      </c>
      <c r="Q219" s="38">
        <f>'[7]6115REV'!$I$15</f>
        <v>0</v>
      </c>
    </row>
    <row r="220" spans="1:17" x14ac:dyDescent="0.25">
      <c r="A220" s="3" t="s">
        <v>698</v>
      </c>
      <c r="B220" s="3" t="s">
        <v>11</v>
      </c>
      <c r="C220" s="3" t="s">
        <v>12</v>
      </c>
      <c r="D220" s="3" t="s">
        <v>41</v>
      </c>
      <c r="E220" s="3" t="s">
        <v>695</v>
      </c>
      <c r="F220" s="3" t="s">
        <v>15</v>
      </c>
      <c r="G220" s="3" t="s">
        <v>16</v>
      </c>
      <c r="H220" s="3" t="s">
        <v>560</v>
      </c>
      <c r="I220" s="4" t="s">
        <v>18</v>
      </c>
      <c r="J220" s="4">
        <v>3</v>
      </c>
      <c r="K220" s="4"/>
      <c r="L220" s="12">
        <v>366571.17</v>
      </c>
      <c r="M220" s="13">
        <v>232009</v>
      </c>
      <c r="N220" s="9">
        <v>232009</v>
      </c>
      <c r="O220" s="43">
        <f>'[6]6119BUDGET'!$K$15</f>
        <v>385509.41312400001</v>
      </c>
      <c r="P220" s="39">
        <v>48826.26</v>
      </c>
      <c r="Q220" s="57">
        <f>'[7]6115REV'!$K$15</f>
        <v>0</v>
      </c>
    </row>
    <row r="221" spans="1:17" x14ac:dyDescent="0.25">
      <c r="A221" s="3" t="s">
        <v>697</v>
      </c>
      <c r="B221" s="3" t="s">
        <v>11</v>
      </c>
      <c r="C221" s="3" t="s">
        <v>12</v>
      </c>
      <c r="D221" s="3" t="s">
        <v>36</v>
      </c>
      <c r="E221" s="3" t="s">
        <v>695</v>
      </c>
      <c r="F221" s="3" t="s">
        <v>15</v>
      </c>
      <c r="G221" s="3" t="s">
        <v>16</v>
      </c>
      <c r="H221" s="3" t="s">
        <v>560</v>
      </c>
      <c r="I221" s="4" t="s">
        <v>18</v>
      </c>
      <c r="J221" s="4">
        <v>3</v>
      </c>
      <c r="K221" s="4"/>
      <c r="L221" s="12">
        <v>40370</v>
      </c>
      <c r="M221" s="13">
        <v>41954</v>
      </c>
      <c r="N221" s="9">
        <v>41954</v>
      </c>
      <c r="O221" s="43">
        <f>'[8]6119BUDGET'!$L$15</f>
        <v>43509.599999999999</v>
      </c>
      <c r="P221" s="39">
        <v>14040</v>
      </c>
      <c r="Q221" s="57">
        <f>'[7]6115REV'!$L$15</f>
        <v>0</v>
      </c>
    </row>
    <row r="222" spans="1:17" x14ac:dyDescent="0.25">
      <c r="A222" s="3" t="s">
        <v>707</v>
      </c>
      <c r="B222" s="3" t="s">
        <v>11</v>
      </c>
      <c r="C222" s="3" t="s">
        <v>12</v>
      </c>
      <c r="D222" s="3" t="s">
        <v>47</v>
      </c>
      <c r="E222" s="3" t="s">
        <v>695</v>
      </c>
      <c r="F222" s="3" t="s">
        <v>15</v>
      </c>
      <c r="G222" s="3" t="s">
        <v>16</v>
      </c>
      <c r="H222" s="3" t="s">
        <v>560</v>
      </c>
      <c r="I222" s="4" t="s">
        <v>18</v>
      </c>
      <c r="J222" s="4">
        <v>3</v>
      </c>
      <c r="K222" s="4"/>
      <c r="L222" s="12">
        <v>503726.43</v>
      </c>
      <c r="M222" s="13">
        <v>280571</v>
      </c>
      <c r="N222" s="9">
        <v>280571</v>
      </c>
      <c r="O222" s="43">
        <f>'[8]6119BUDGET'!$M$15</f>
        <v>513243.43679999997</v>
      </c>
      <c r="P222" s="39">
        <v>92044.2</v>
      </c>
      <c r="Q222" s="57">
        <f>'[7]6115REV'!$M$15</f>
        <v>0</v>
      </c>
    </row>
    <row r="223" spans="1:17" x14ac:dyDescent="0.25">
      <c r="A223" s="3" t="s">
        <v>728</v>
      </c>
      <c r="B223" s="3" t="s">
        <v>11</v>
      </c>
      <c r="C223" s="3" t="s">
        <v>12</v>
      </c>
      <c r="D223" s="3" t="s">
        <v>45</v>
      </c>
      <c r="E223" s="3" t="s">
        <v>702</v>
      </c>
      <c r="F223" s="3" t="s">
        <v>37</v>
      </c>
      <c r="G223" s="3" t="s">
        <v>16</v>
      </c>
      <c r="H223" s="3" t="s">
        <v>560</v>
      </c>
      <c r="I223" s="4" t="s">
        <v>38</v>
      </c>
      <c r="J223" s="4">
        <v>4</v>
      </c>
      <c r="K223" s="4"/>
      <c r="L223" s="12">
        <v>8000</v>
      </c>
      <c r="M223" s="13">
        <v>8900</v>
      </c>
      <c r="N223" s="9">
        <v>8900</v>
      </c>
      <c r="O223" s="43">
        <f>'[8]6119BUDGET'!$N$15</f>
        <v>12000</v>
      </c>
      <c r="P223" s="39">
        <v>3195</v>
      </c>
      <c r="Q223" s="38">
        <f>'[7]6115REV'!$N$15</f>
        <v>0</v>
      </c>
    </row>
    <row r="224" spans="1:17" x14ac:dyDescent="0.25">
      <c r="A224" s="3" t="s">
        <v>705</v>
      </c>
      <c r="B224" s="3" t="s">
        <v>11</v>
      </c>
      <c r="C224" s="3" t="s">
        <v>12</v>
      </c>
      <c r="D224" s="3" t="s">
        <v>156</v>
      </c>
      <c r="E224" s="3" t="s">
        <v>702</v>
      </c>
      <c r="F224" s="3" t="s">
        <v>37</v>
      </c>
      <c r="G224" s="3" t="s">
        <v>16</v>
      </c>
      <c r="H224" s="3" t="s">
        <v>560</v>
      </c>
      <c r="I224" s="4" t="s">
        <v>38</v>
      </c>
      <c r="J224" s="4">
        <v>1</v>
      </c>
      <c r="K224" s="4"/>
      <c r="L224" s="12">
        <v>0</v>
      </c>
      <c r="M224" s="13">
        <v>9320</v>
      </c>
      <c r="N224" s="9">
        <v>9320</v>
      </c>
      <c r="O224" s="43">
        <f>'[6]6119BUDGET'!$P$15</f>
        <v>10893.24</v>
      </c>
      <c r="P224" s="39">
        <v>2723.31</v>
      </c>
      <c r="Q224" s="57">
        <f>'[7]6115REV'!$P$15</f>
        <v>0</v>
      </c>
    </row>
    <row r="225" spans="1:17" x14ac:dyDescent="0.25">
      <c r="A225" s="3" t="s">
        <v>696</v>
      </c>
      <c r="B225" s="3" t="s">
        <v>11</v>
      </c>
      <c r="C225" s="3" t="s">
        <v>12</v>
      </c>
      <c r="D225" s="3" t="s">
        <v>151</v>
      </c>
      <c r="E225" s="3" t="s">
        <v>695</v>
      </c>
      <c r="F225" s="3" t="s">
        <v>15</v>
      </c>
      <c r="G225" s="3" t="s">
        <v>16</v>
      </c>
      <c r="H225" s="3" t="s">
        <v>560</v>
      </c>
      <c r="I225" s="4" t="s">
        <v>18</v>
      </c>
      <c r="J225" s="4">
        <v>3</v>
      </c>
      <c r="K225" s="4"/>
      <c r="L225" s="12">
        <v>396</v>
      </c>
      <c r="M225" s="13">
        <v>270</v>
      </c>
      <c r="N225" s="9">
        <v>270</v>
      </c>
      <c r="O225" s="43">
        <f>'[8]6119BUDGET'!$R$15</f>
        <v>420</v>
      </c>
      <c r="P225" s="39">
        <v>55.92</v>
      </c>
      <c r="Q225" s="57">
        <f>'[7]6115REV'!$R$15</f>
        <v>0</v>
      </c>
    </row>
    <row r="226" spans="1:17" x14ac:dyDescent="0.25">
      <c r="A226" s="3" t="s">
        <v>709</v>
      </c>
      <c r="B226" s="3" t="s">
        <v>11</v>
      </c>
      <c r="C226" s="3" t="s">
        <v>203</v>
      </c>
      <c r="D226" s="3" t="s">
        <v>204</v>
      </c>
      <c r="E226" s="3" t="s">
        <v>702</v>
      </c>
      <c r="F226" s="3" t="s">
        <v>37</v>
      </c>
      <c r="G226" s="3" t="s">
        <v>16</v>
      </c>
      <c r="H226" s="3" t="s">
        <v>560</v>
      </c>
      <c r="I226" s="4" t="s">
        <v>38</v>
      </c>
      <c r="J226" s="4">
        <v>1</v>
      </c>
      <c r="K226" s="4"/>
      <c r="L226" s="12">
        <v>0</v>
      </c>
      <c r="M226" s="13">
        <v>8100</v>
      </c>
      <c r="N226" s="9">
        <v>8100</v>
      </c>
      <c r="O226" s="43">
        <f>'[8]6119BUDGET'!$Q$5+'[8]6119BUDGET'!$Q$6+'[8]6119BUDGET'!$Q$7+'[8]6119BUDGET'!$Q$8+'[8]6119BUDGET'!$Q$9+'[8]6119BUDGET'!$Q$10+'[8]6119BUDGET'!$Q$11</f>
        <v>6300</v>
      </c>
      <c r="P226" s="39">
        <v>1818.73</v>
      </c>
      <c r="Q226" s="57">
        <f>'[7]6115REV'!$Q$15</f>
        <v>0</v>
      </c>
    </row>
    <row r="227" spans="1:17" x14ac:dyDescent="0.25">
      <c r="A227" s="3" t="s">
        <v>694</v>
      </c>
      <c r="B227" s="3" t="s">
        <v>11</v>
      </c>
      <c r="C227" s="3" t="s">
        <v>12</v>
      </c>
      <c r="D227" s="3" t="s">
        <v>30</v>
      </c>
      <c r="E227" s="3" t="s">
        <v>695</v>
      </c>
      <c r="F227" s="3" t="s">
        <v>15</v>
      </c>
      <c r="G227" s="3" t="s">
        <v>16</v>
      </c>
      <c r="H227" s="3" t="s">
        <v>560</v>
      </c>
      <c r="I227" s="4" t="s">
        <v>18</v>
      </c>
      <c r="J227" s="4">
        <v>3</v>
      </c>
      <c r="K227" s="4"/>
      <c r="L227" s="12">
        <v>23359.23</v>
      </c>
      <c r="M227" s="13">
        <v>107589</v>
      </c>
      <c r="N227" s="9">
        <v>107589</v>
      </c>
      <c r="O227" s="43">
        <f>'[6]6119BUDGET'!$Q$3+'[6]6119BUDGET'!$Q$4+'[6]6119BUDGET'!$Q$12+'[6]6119BUDGET'!$Q$13</f>
        <v>17523.155142</v>
      </c>
      <c r="P227" s="39">
        <v>4091.22</v>
      </c>
      <c r="Q227" s="38"/>
    </row>
    <row r="228" spans="1:17" x14ac:dyDescent="0.25">
      <c r="A228" s="3" t="s">
        <v>704</v>
      </c>
      <c r="B228" s="3" t="s">
        <v>11</v>
      </c>
      <c r="C228" s="3" t="s">
        <v>12</v>
      </c>
      <c r="D228" s="3" t="s">
        <v>155</v>
      </c>
      <c r="E228" s="3" t="s">
        <v>702</v>
      </c>
      <c r="F228" s="3" t="s">
        <v>37</v>
      </c>
      <c r="G228" s="3" t="s">
        <v>16</v>
      </c>
      <c r="H228" s="3" t="s">
        <v>560</v>
      </c>
      <c r="I228" s="4" t="s">
        <v>38</v>
      </c>
      <c r="J228" s="4">
        <v>1</v>
      </c>
      <c r="K228" s="4"/>
      <c r="L228" s="12">
        <v>0</v>
      </c>
      <c r="M228" s="13">
        <v>0</v>
      </c>
      <c r="N228" s="9">
        <v>0</v>
      </c>
      <c r="O228" s="43">
        <v>0</v>
      </c>
      <c r="P228" s="39"/>
      <c r="Q228" s="38"/>
    </row>
    <row r="229" spans="1:17" x14ac:dyDescent="0.25">
      <c r="A229" s="3" t="s">
        <v>699</v>
      </c>
      <c r="B229" s="3" t="s">
        <v>11</v>
      </c>
      <c r="C229" s="3" t="s">
        <v>12</v>
      </c>
      <c r="D229" s="3" t="s">
        <v>43</v>
      </c>
      <c r="E229" s="3" t="s">
        <v>695</v>
      </c>
      <c r="F229" s="3" t="s">
        <v>15</v>
      </c>
      <c r="G229" s="3" t="s">
        <v>16</v>
      </c>
      <c r="H229" s="3" t="s">
        <v>560</v>
      </c>
      <c r="I229" s="4" t="s">
        <v>18</v>
      </c>
      <c r="J229" s="4">
        <v>3</v>
      </c>
      <c r="K229" s="4"/>
      <c r="L229" s="12">
        <v>12686.34</v>
      </c>
      <c r="M229" s="13">
        <v>4600</v>
      </c>
      <c r="N229" s="9">
        <v>4600</v>
      </c>
      <c r="O229" s="43">
        <f>'[8]6119BUDGET'!$T$5+'[8]6119BUDGET'!$T$6+'[8]6119BUDGET'!$T$7+'[8]6119BUDGET'!$T$8+'[8]6119BUDGET'!$T$9+'[8]6119BUDGET'!$T$10+'[8]6119BUDGET'!$T$11</f>
        <v>6300</v>
      </c>
      <c r="P229" s="39">
        <v>1216.08</v>
      </c>
      <c r="Q229" s="57">
        <f>'[7]6115REV'!$T$15</f>
        <v>0</v>
      </c>
    </row>
    <row r="230" spans="1:17" x14ac:dyDescent="0.25">
      <c r="A230" s="3" t="s">
        <v>710</v>
      </c>
      <c r="B230" s="3" t="s">
        <v>11</v>
      </c>
      <c r="C230" s="3" t="s">
        <v>203</v>
      </c>
      <c r="D230" s="3" t="s">
        <v>43</v>
      </c>
      <c r="E230" s="3" t="s">
        <v>702</v>
      </c>
      <c r="F230" s="3" t="s">
        <v>37</v>
      </c>
      <c r="G230" s="3" t="s">
        <v>16</v>
      </c>
      <c r="H230" s="3" t="s">
        <v>560</v>
      </c>
      <c r="I230" s="4" t="s">
        <v>38</v>
      </c>
      <c r="J230" s="4">
        <v>1</v>
      </c>
      <c r="K230" s="4"/>
      <c r="L230" s="12">
        <v>0</v>
      </c>
      <c r="M230" s="13">
        <v>8100</v>
      </c>
      <c r="N230" s="9">
        <v>8100</v>
      </c>
      <c r="O230" s="43">
        <f>'[6]6119BUDGET'!$T$3+'[6]6119BUDGET'!$T$4+'[6]6119BUDGET'!$T$12+'[6]6119BUDGET'!$T$13</f>
        <v>5989.44</v>
      </c>
      <c r="P230" s="39">
        <v>892.32</v>
      </c>
      <c r="Q230" s="38"/>
    </row>
    <row r="231" spans="1:17" x14ac:dyDescent="0.25">
      <c r="A231" s="3" t="s">
        <v>730</v>
      </c>
      <c r="B231" s="3" t="s">
        <v>11</v>
      </c>
      <c r="C231" s="3" t="s">
        <v>203</v>
      </c>
      <c r="D231" s="3" t="s">
        <v>162</v>
      </c>
      <c r="E231" s="3" t="s">
        <v>702</v>
      </c>
      <c r="F231" s="3" t="s">
        <v>37</v>
      </c>
      <c r="G231" s="3" t="s">
        <v>16</v>
      </c>
      <c r="H231" s="3" t="s">
        <v>560</v>
      </c>
      <c r="I231" s="4" t="s">
        <v>38</v>
      </c>
      <c r="J231" s="4">
        <v>1</v>
      </c>
      <c r="K231" s="4"/>
      <c r="L231" s="12">
        <v>0</v>
      </c>
      <c r="M231" s="13">
        <v>16564</v>
      </c>
      <c r="N231" s="9">
        <v>16564</v>
      </c>
      <c r="O231" s="39">
        <v>0</v>
      </c>
      <c r="P231" s="39">
        <v>65160</v>
      </c>
      <c r="Q231" s="57">
        <v>80000</v>
      </c>
    </row>
    <row r="232" spans="1:17" x14ac:dyDescent="0.25">
      <c r="A232" s="31" t="s">
        <v>688</v>
      </c>
      <c r="B232" s="31" t="s">
        <v>11</v>
      </c>
      <c r="C232" s="31" t="s">
        <v>12</v>
      </c>
      <c r="D232" s="31" t="s">
        <v>157</v>
      </c>
      <c r="E232" s="31" t="s">
        <v>90</v>
      </c>
      <c r="F232" s="31" t="s">
        <v>15</v>
      </c>
      <c r="G232" s="31" t="s">
        <v>16</v>
      </c>
      <c r="H232" s="31" t="s">
        <v>667</v>
      </c>
      <c r="I232" s="32" t="s">
        <v>18</v>
      </c>
      <c r="J232" s="32">
        <v>3</v>
      </c>
      <c r="K232" s="32"/>
      <c r="L232" s="33">
        <v>1777922</v>
      </c>
      <c r="M232" s="36">
        <v>1564401</v>
      </c>
      <c r="N232" s="34">
        <v>1564401</v>
      </c>
      <c r="O232" s="43">
        <f>'[6]6117EXP'!$E$8</f>
        <v>1868322.3858000003</v>
      </c>
      <c r="P232" s="43">
        <v>443236.63</v>
      </c>
      <c r="Q232" s="57">
        <f>'[7]6115REV'!$E$8</f>
        <v>95778.334232999987</v>
      </c>
    </row>
    <row r="233" spans="1:17" x14ac:dyDescent="0.25">
      <c r="A233" s="3" t="s">
        <v>1197</v>
      </c>
      <c r="B233" s="3" t="s">
        <v>86</v>
      </c>
      <c r="C233" s="3" t="s">
        <v>12</v>
      </c>
      <c r="D233" s="3" t="s">
        <v>1636</v>
      </c>
      <c r="E233" s="3" t="s">
        <v>37</v>
      </c>
      <c r="F233" s="3" t="s">
        <v>16</v>
      </c>
      <c r="G233" s="3" t="s">
        <v>667</v>
      </c>
      <c r="H233" s="1"/>
      <c r="I233" s="1"/>
      <c r="J233" s="1"/>
      <c r="K233" s="1"/>
      <c r="L233" s="2">
        <v>0</v>
      </c>
      <c r="M233" s="13">
        <v>59084</v>
      </c>
      <c r="N233" s="9">
        <v>59084</v>
      </c>
      <c r="O233" s="43">
        <f>'[8]6117EXP'!$G$8</f>
        <v>0</v>
      </c>
      <c r="P233" s="43"/>
      <c r="Q233" s="43">
        <v>0</v>
      </c>
    </row>
    <row r="234" spans="1:17" x14ac:dyDescent="0.25">
      <c r="A234" s="3" t="s">
        <v>685</v>
      </c>
      <c r="B234" s="3" t="s">
        <v>11</v>
      </c>
      <c r="C234" s="3" t="s">
        <v>12</v>
      </c>
      <c r="D234" s="3" t="s">
        <v>1630</v>
      </c>
      <c r="E234" s="3" t="s">
        <v>90</v>
      </c>
      <c r="F234" s="3" t="s">
        <v>15</v>
      </c>
      <c r="G234" s="3" t="s">
        <v>16</v>
      </c>
      <c r="H234" s="3" t="s">
        <v>667</v>
      </c>
      <c r="I234" s="4" t="s">
        <v>18</v>
      </c>
      <c r="J234" s="4">
        <v>3</v>
      </c>
      <c r="K234" s="4"/>
      <c r="L234" s="12">
        <v>44000</v>
      </c>
      <c r="M234" s="13">
        <v>44000</v>
      </c>
      <c r="N234" s="9">
        <v>44000</v>
      </c>
      <c r="O234" s="43">
        <v>22500</v>
      </c>
      <c r="P234" s="39">
        <v>24786.26</v>
      </c>
      <c r="Q234" s="38">
        <v>22500</v>
      </c>
    </row>
    <row r="235" spans="1:17" x14ac:dyDescent="0.25">
      <c r="A235" s="3" t="s">
        <v>686</v>
      </c>
      <c r="B235" s="3" t="s">
        <v>11</v>
      </c>
      <c r="C235" s="3" t="s">
        <v>12</v>
      </c>
      <c r="D235" s="3" t="s">
        <v>153</v>
      </c>
      <c r="E235" s="3" t="s">
        <v>90</v>
      </c>
      <c r="F235" s="3" t="s">
        <v>15</v>
      </c>
      <c r="G235" s="3" t="s">
        <v>16</v>
      </c>
      <c r="H235" s="3" t="s">
        <v>667</v>
      </c>
      <c r="I235" s="4" t="s">
        <v>18</v>
      </c>
      <c r="J235" s="4">
        <v>3</v>
      </c>
      <c r="K235" s="4"/>
      <c r="L235" s="12">
        <v>148160</v>
      </c>
      <c r="M235" s="13">
        <v>123115</v>
      </c>
      <c r="N235" s="9">
        <v>123115</v>
      </c>
      <c r="O235" s="43">
        <f>'[6]6117EXP'!$I$8</f>
        <v>155693.53215000001</v>
      </c>
      <c r="P235" s="39">
        <v>101555.93</v>
      </c>
      <c r="Q235" s="38">
        <f>'[7]6115REV'!$I$8</f>
        <v>31926.111410999994</v>
      </c>
    </row>
    <row r="236" spans="1:17" x14ac:dyDescent="0.25">
      <c r="A236" s="3" t="s">
        <v>683</v>
      </c>
      <c r="B236" s="3" t="s">
        <v>11</v>
      </c>
      <c r="C236" s="3" t="s">
        <v>12</v>
      </c>
      <c r="D236" s="3" t="s">
        <v>41</v>
      </c>
      <c r="E236" s="3" t="s">
        <v>90</v>
      </c>
      <c r="F236" s="3" t="s">
        <v>15</v>
      </c>
      <c r="G236" s="3" t="s">
        <v>16</v>
      </c>
      <c r="H236" s="3" t="s">
        <v>667</v>
      </c>
      <c r="I236" s="4" t="s">
        <v>18</v>
      </c>
      <c r="J236" s="4">
        <v>3</v>
      </c>
      <c r="K236" s="4"/>
      <c r="L236" s="12">
        <v>391143</v>
      </c>
      <c r="M236" s="13">
        <v>338880</v>
      </c>
      <c r="N236" s="9">
        <v>338880</v>
      </c>
      <c r="O236" s="43">
        <f>'[6]6117EXP'!$K$8</f>
        <v>411030.92487600003</v>
      </c>
      <c r="P236" s="39">
        <v>94127.76</v>
      </c>
      <c r="Q236" s="57">
        <f>'[7]6115REV'!$K$8</f>
        <v>21071.233531259997</v>
      </c>
    </row>
    <row r="237" spans="1:17" x14ac:dyDescent="0.25">
      <c r="A237" s="3" t="s">
        <v>682</v>
      </c>
      <c r="B237" s="3" t="s">
        <v>11</v>
      </c>
      <c r="C237" s="3" t="s">
        <v>12</v>
      </c>
      <c r="D237" s="3" t="s">
        <v>36</v>
      </c>
      <c r="E237" s="3" t="s">
        <v>90</v>
      </c>
      <c r="F237" s="3" t="s">
        <v>15</v>
      </c>
      <c r="G237" s="3" t="s">
        <v>16</v>
      </c>
      <c r="H237" s="3" t="s">
        <v>667</v>
      </c>
      <c r="I237" s="4" t="s">
        <v>18</v>
      </c>
      <c r="J237" s="4">
        <v>3</v>
      </c>
      <c r="K237" s="4"/>
      <c r="L237" s="12">
        <v>97752</v>
      </c>
      <c r="M237" s="13">
        <v>120315</v>
      </c>
      <c r="N237" s="9">
        <v>120315</v>
      </c>
      <c r="O237" s="43">
        <f>'[6]6117EXP'!$L$8</f>
        <v>119280</v>
      </c>
      <c r="P237" s="39">
        <v>31954.05</v>
      </c>
      <c r="Q237" s="57">
        <f>'[7]6115REV'!$L$8</f>
        <v>0</v>
      </c>
    </row>
    <row r="238" spans="1:17" x14ac:dyDescent="0.25">
      <c r="A238" s="3" t="s">
        <v>687</v>
      </c>
      <c r="B238" s="3" t="s">
        <v>11</v>
      </c>
      <c r="C238" s="3" t="s">
        <v>12</v>
      </c>
      <c r="D238" s="3" t="s">
        <v>47</v>
      </c>
      <c r="E238" s="3" t="s">
        <v>90</v>
      </c>
      <c r="F238" s="3" t="s">
        <v>15</v>
      </c>
      <c r="G238" s="3" t="s">
        <v>16</v>
      </c>
      <c r="H238" s="3" t="s">
        <v>667</v>
      </c>
      <c r="I238" s="4" t="s">
        <v>18</v>
      </c>
      <c r="J238" s="4">
        <v>3</v>
      </c>
      <c r="K238" s="4"/>
      <c r="L238" s="12">
        <v>347680</v>
      </c>
      <c r="M238" s="13">
        <v>343889</v>
      </c>
      <c r="N238" s="9">
        <v>343889</v>
      </c>
      <c r="O238" s="43">
        <f>'[8]6117EXP'!$M$8</f>
        <v>370974.71999999997</v>
      </c>
      <c r="P238" s="39">
        <v>101784.3</v>
      </c>
      <c r="Q238" s="57">
        <f>'[7]6115REV'!$M$8</f>
        <v>0</v>
      </c>
    </row>
    <row r="239" spans="1:17" x14ac:dyDescent="0.25">
      <c r="A239" s="3" t="s">
        <v>679</v>
      </c>
      <c r="B239" s="3" t="s">
        <v>11</v>
      </c>
      <c r="C239" s="3" t="s">
        <v>12</v>
      </c>
      <c r="D239" s="3" t="s">
        <v>45</v>
      </c>
      <c r="E239" s="3" t="s">
        <v>90</v>
      </c>
      <c r="F239" s="3" t="s">
        <v>37</v>
      </c>
      <c r="G239" s="3" t="s">
        <v>16</v>
      </c>
      <c r="H239" s="3" t="s">
        <v>667</v>
      </c>
      <c r="I239" s="4" t="s">
        <v>38</v>
      </c>
      <c r="J239" s="4">
        <v>3</v>
      </c>
      <c r="K239" s="4"/>
      <c r="L239" s="12">
        <v>8000</v>
      </c>
      <c r="M239" s="13">
        <v>8900</v>
      </c>
      <c r="N239" s="9">
        <v>8900</v>
      </c>
      <c r="O239" s="43">
        <f>'[8]6117EXP'!$N$8</f>
        <v>12000</v>
      </c>
      <c r="P239" s="39">
        <v>6390</v>
      </c>
      <c r="Q239" s="38">
        <f>'[7]6115REV'!$N$8</f>
        <v>2274</v>
      </c>
    </row>
    <row r="240" spans="1:17" x14ac:dyDescent="0.25">
      <c r="A240" s="3" t="s">
        <v>672</v>
      </c>
      <c r="B240" s="3" t="s">
        <v>11</v>
      </c>
      <c r="C240" s="3" t="s">
        <v>12</v>
      </c>
      <c r="D240" s="3" t="s">
        <v>155</v>
      </c>
      <c r="E240" s="3" t="s">
        <v>90</v>
      </c>
      <c r="F240" s="3" t="s">
        <v>37</v>
      </c>
      <c r="G240" s="3" t="s">
        <v>16</v>
      </c>
      <c r="H240" s="3" t="s">
        <v>667</v>
      </c>
      <c r="I240" s="4" t="s">
        <v>38</v>
      </c>
      <c r="J240" s="4">
        <v>1</v>
      </c>
      <c r="K240" s="4"/>
      <c r="L240" s="12">
        <v>0</v>
      </c>
      <c r="M240" s="13">
        <v>0</v>
      </c>
      <c r="N240" s="9">
        <v>0</v>
      </c>
      <c r="O240" s="43"/>
      <c r="P240" s="39"/>
      <c r="Q240" s="38"/>
    </row>
    <row r="241" spans="1:17" x14ac:dyDescent="0.25">
      <c r="A241" s="3" t="s">
        <v>681</v>
      </c>
      <c r="B241" s="3" t="s">
        <v>11</v>
      </c>
      <c r="C241" s="3" t="s">
        <v>12</v>
      </c>
      <c r="D241" s="3" t="s">
        <v>151</v>
      </c>
      <c r="E241" s="3" t="s">
        <v>90</v>
      </c>
      <c r="F241" s="3" t="s">
        <v>15</v>
      </c>
      <c r="G241" s="3" t="s">
        <v>16</v>
      </c>
      <c r="H241" s="3" t="s">
        <v>667</v>
      </c>
      <c r="I241" s="4" t="s">
        <v>18</v>
      </c>
      <c r="J241" s="4">
        <v>3</v>
      </c>
      <c r="K241" s="4"/>
      <c r="L241" s="12">
        <v>495</v>
      </c>
      <c r="M241" s="13">
        <v>444</v>
      </c>
      <c r="N241" s="9">
        <v>444</v>
      </c>
      <c r="O241" s="43">
        <f>'[8]6117EXP'!$R$8</f>
        <v>525</v>
      </c>
      <c r="P241" s="39">
        <v>111.84</v>
      </c>
      <c r="Q241" s="57">
        <f>'[7]6115REV'!$R$8</f>
        <v>26.25</v>
      </c>
    </row>
    <row r="242" spans="1:17" x14ac:dyDescent="0.25">
      <c r="A242" s="3" t="s">
        <v>680</v>
      </c>
      <c r="B242" s="3" t="s">
        <v>11</v>
      </c>
      <c r="C242" s="3" t="s">
        <v>12</v>
      </c>
      <c r="D242" s="3" t="s">
        <v>30</v>
      </c>
      <c r="E242" s="3" t="s">
        <v>90</v>
      </c>
      <c r="F242" s="3" t="s">
        <v>15</v>
      </c>
      <c r="G242" s="3" t="s">
        <v>16</v>
      </c>
      <c r="H242" s="3" t="s">
        <v>667</v>
      </c>
      <c r="I242" s="4" t="s">
        <v>18</v>
      </c>
      <c r="J242" s="4">
        <v>3</v>
      </c>
      <c r="K242" s="4"/>
      <c r="L242" s="12">
        <v>17779</v>
      </c>
      <c r="M242" s="13">
        <v>18423</v>
      </c>
      <c r="N242" s="9">
        <v>18423</v>
      </c>
      <c r="O242" s="43">
        <f>'[6]6117EXP'!$Q$8</f>
        <v>18683.223858000001</v>
      </c>
      <c r="P242" s="39">
        <v>6562.17</v>
      </c>
      <c r="Q242" s="57">
        <f>'[7]6115REV'!$Q$8</f>
        <v>957.78334232999987</v>
      </c>
    </row>
    <row r="243" spans="1:17" x14ac:dyDescent="0.25">
      <c r="A243" s="3" t="s">
        <v>684</v>
      </c>
      <c r="B243" s="3" t="s">
        <v>11</v>
      </c>
      <c r="C243" s="3" t="s">
        <v>12</v>
      </c>
      <c r="D243" s="3" t="s">
        <v>43</v>
      </c>
      <c r="E243" s="3" t="s">
        <v>90</v>
      </c>
      <c r="F243" s="3" t="s">
        <v>15</v>
      </c>
      <c r="G243" s="3" t="s">
        <v>16</v>
      </c>
      <c r="H243" s="3" t="s">
        <v>667</v>
      </c>
      <c r="I243" s="4" t="s">
        <v>18</v>
      </c>
      <c r="J243" s="4">
        <v>3</v>
      </c>
      <c r="K243" s="4"/>
      <c r="L243" s="12">
        <v>7487</v>
      </c>
      <c r="M243" s="13">
        <v>10006</v>
      </c>
      <c r="N243" s="9">
        <v>10006</v>
      </c>
      <c r="O243" s="43">
        <f>'[6]6117EXP'!$T$8</f>
        <v>7486.7999999999993</v>
      </c>
      <c r="P243" s="39">
        <v>1784.64</v>
      </c>
      <c r="Q243" s="57">
        <f>'[7]6115REV'!$T$8</f>
        <v>957.78334232999987</v>
      </c>
    </row>
    <row r="244" spans="1:17" x14ac:dyDescent="0.25">
      <c r="A244" s="3" t="s">
        <v>660</v>
      </c>
      <c r="B244" s="3" t="s">
        <v>11</v>
      </c>
      <c r="C244" s="3" t="s">
        <v>12</v>
      </c>
      <c r="D244" s="3" t="s">
        <v>157</v>
      </c>
      <c r="E244" s="3" t="s">
        <v>90</v>
      </c>
      <c r="F244" s="3" t="s">
        <v>15</v>
      </c>
      <c r="G244" s="3" t="s">
        <v>16</v>
      </c>
      <c r="H244" s="3" t="s">
        <v>559</v>
      </c>
      <c r="I244" s="4" t="s">
        <v>18</v>
      </c>
      <c r="J244" s="4">
        <v>3</v>
      </c>
      <c r="K244" s="4"/>
      <c r="L244" s="5">
        <v>5391398.5300000003</v>
      </c>
      <c r="M244" s="7">
        <v>3868765</v>
      </c>
      <c r="N244" s="6">
        <v>3868765</v>
      </c>
      <c r="O244" s="43">
        <f>'[6]6115REV'!$E$29</f>
        <v>5715069.3341639983</v>
      </c>
      <c r="P244" s="38">
        <v>867265.02</v>
      </c>
      <c r="Q244" s="57">
        <f>'[7]6115REV'!$E$29</f>
        <v>4843764.5262510004</v>
      </c>
    </row>
    <row r="245" spans="1:17" x14ac:dyDescent="0.25">
      <c r="A245" s="3" t="s">
        <v>563</v>
      </c>
      <c r="B245" s="3" t="s">
        <v>11</v>
      </c>
      <c r="C245" s="3" t="s">
        <v>12</v>
      </c>
      <c r="D245" s="3" t="s">
        <v>86</v>
      </c>
      <c r="E245" s="3" t="s">
        <v>90</v>
      </c>
      <c r="F245" s="3" t="s">
        <v>37</v>
      </c>
      <c r="G245" s="3" t="s">
        <v>16</v>
      </c>
      <c r="H245" s="3" t="s">
        <v>559</v>
      </c>
      <c r="I245" s="4" t="s">
        <v>38</v>
      </c>
      <c r="J245" s="4">
        <v>1</v>
      </c>
      <c r="K245" s="4"/>
      <c r="L245" s="5">
        <v>0</v>
      </c>
      <c r="M245" s="7">
        <v>70000</v>
      </c>
      <c r="N245" s="6">
        <v>70000</v>
      </c>
      <c r="O245" s="38">
        <f>'[8]6115REV'!$G$29</f>
        <v>0</v>
      </c>
      <c r="P245" s="38">
        <v>0</v>
      </c>
      <c r="Q245" s="57">
        <v>46000</v>
      </c>
    </row>
    <row r="246" spans="1:17" x14ac:dyDescent="0.25">
      <c r="A246" s="3" t="s">
        <v>657</v>
      </c>
      <c r="B246" s="3" t="s">
        <v>11</v>
      </c>
      <c r="C246" s="3" t="s">
        <v>12</v>
      </c>
      <c r="D246" s="3" t="s">
        <v>1638</v>
      </c>
      <c r="E246" s="3" t="s">
        <v>90</v>
      </c>
      <c r="F246" s="3" t="s">
        <v>15</v>
      </c>
      <c r="G246" s="3" t="s">
        <v>16</v>
      </c>
      <c r="H246" s="3" t="s">
        <v>559</v>
      </c>
      <c r="I246" s="4" t="s">
        <v>18</v>
      </c>
      <c r="J246" s="4">
        <v>3</v>
      </c>
      <c r="K246" s="4"/>
      <c r="L246" s="5">
        <v>200000</v>
      </c>
      <c r="M246" s="7">
        <v>150000</v>
      </c>
      <c r="N246" s="6">
        <v>150000</v>
      </c>
      <c r="O246" s="43">
        <v>70000</v>
      </c>
      <c r="P246" s="38">
        <v>55639.199999999997</v>
      </c>
      <c r="Q246" s="38">
        <v>70000</v>
      </c>
    </row>
    <row r="247" spans="1:17" x14ac:dyDescent="0.25">
      <c r="A247" s="3" t="s">
        <v>656</v>
      </c>
      <c r="B247" s="3" t="s">
        <v>11</v>
      </c>
      <c r="C247" s="3" t="s">
        <v>12</v>
      </c>
      <c r="D247" s="3" t="s">
        <v>153</v>
      </c>
      <c r="E247" s="3" t="s">
        <v>90</v>
      </c>
      <c r="F247" s="3" t="s">
        <v>15</v>
      </c>
      <c r="G247" s="3" t="s">
        <v>16</v>
      </c>
      <c r="H247" s="3" t="s">
        <v>559</v>
      </c>
      <c r="I247" s="4" t="s">
        <v>18</v>
      </c>
      <c r="J247" s="4">
        <v>3</v>
      </c>
      <c r="K247" s="4"/>
      <c r="L247" s="5">
        <v>449283.21</v>
      </c>
      <c r="M247" s="7">
        <v>296367</v>
      </c>
      <c r="N247" s="6">
        <v>296367</v>
      </c>
      <c r="O247" s="43">
        <f>'[6]6115REV'!$I$29</f>
        <v>476255.77784700011</v>
      </c>
      <c r="P247" s="38">
        <v>46714.97</v>
      </c>
      <c r="Q247" s="38">
        <f>'[7]6115REV'!$I$29</f>
        <v>476255.77784700011</v>
      </c>
    </row>
    <row r="248" spans="1:17" x14ac:dyDescent="0.25">
      <c r="A248" s="3" t="s">
        <v>654</v>
      </c>
      <c r="B248" s="3" t="s">
        <v>11</v>
      </c>
      <c r="C248" s="3" t="s">
        <v>12</v>
      </c>
      <c r="D248" s="3" t="s">
        <v>155</v>
      </c>
      <c r="E248" s="3" t="s">
        <v>90</v>
      </c>
      <c r="F248" s="3" t="s">
        <v>15</v>
      </c>
      <c r="G248" s="3" t="s">
        <v>16</v>
      </c>
      <c r="H248" s="3" t="s">
        <v>559</v>
      </c>
      <c r="I248" s="4" t="s">
        <v>18</v>
      </c>
      <c r="J248" s="4">
        <v>3</v>
      </c>
      <c r="K248" s="4"/>
      <c r="L248" s="5">
        <v>121843</v>
      </c>
      <c r="M248" s="7">
        <v>93200</v>
      </c>
      <c r="N248" s="6">
        <v>93200</v>
      </c>
      <c r="O248" s="43">
        <f>'[6]6115REV'!$J$29</f>
        <v>38721.480000000003</v>
      </c>
      <c r="P248" s="38">
        <v>0</v>
      </c>
      <c r="Q248" s="38">
        <f>'[7]6115REV'!$J$29</f>
        <v>38721.480000000003</v>
      </c>
    </row>
    <row r="249" spans="1:17" x14ac:dyDescent="0.25">
      <c r="A249" s="3" t="s">
        <v>652</v>
      </c>
      <c r="B249" s="3" t="s">
        <v>11</v>
      </c>
      <c r="C249" s="3" t="s">
        <v>12</v>
      </c>
      <c r="D249" s="3" t="s">
        <v>41</v>
      </c>
      <c r="E249" s="3" t="s">
        <v>90</v>
      </c>
      <c r="F249" s="3" t="s">
        <v>15</v>
      </c>
      <c r="G249" s="3" t="s">
        <v>16</v>
      </c>
      <c r="H249" s="3" t="s">
        <v>559</v>
      </c>
      <c r="I249" s="4" t="s">
        <v>18</v>
      </c>
      <c r="J249" s="4">
        <v>3</v>
      </c>
      <c r="K249" s="4"/>
      <c r="L249" s="5">
        <v>1186107.68</v>
      </c>
      <c r="M249" s="7">
        <v>828328</v>
      </c>
      <c r="N249" s="6">
        <v>828328</v>
      </c>
      <c r="O249" s="43">
        <f>'[6]6115REV'!$K$29</f>
        <v>1257315.2535160801</v>
      </c>
      <c r="P249" s="38">
        <v>175913.55</v>
      </c>
      <c r="Q249" s="57">
        <f>'[7]6115REV'!$K$29</f>
        <v>1065628.1957752197</v>
      </c>
    </row>
    <row r="250" spans="1:17" x14ac:dyDescent="0.25">
      <c r="A250" s="3" t="s">
        <v>651</v>
      </c>
      <c r="B250" s="3" t="s">
        <v>11</v>
      </c>
      <c r="C250" s="3" t="s">
        <v>12</v>
      </c>
      <c r="D250" s="3" t="s">
        <v>36</v>
      </c>
      <c r="E250" s="3" t="s">
        <v>90</v>
      </c>
      <c r="F250" s="3" t="s">
        <v>15</v>
      </c>
      <c r="G250" s="3" t="s">
        <v>16</v>
      </c>
      <c r="H250" s="3" t="s">
        <v>559</v>
      </c>
      <c r="I250" s="4" t="s">
        <v>18</v>
      </c>
      <c r="J250" s="4">
        <v>3</v>
      </c>
      <c r="K250" s="4"/>
      <c r="L250" s="5">
        <v>133689.60000000001</v>
      </c>
      <c r="M250" s="7">
        <v>178956</v>
      </c>
      <c r="N250" s="6">
        <v>178956</v>
      </c>
      <c r="O250" s="43">
        <f>'[6]6115REV'!$L$29</f>
        <v>240191.99999999997</v>
      </c>
      <c r="P250" s="38">
        <v>40066.199999999997</v>
      </c>
      <c r="Q250" s="57">
        <f>'[7]6115REV'!$L$29</f>
        <v>221942.99999999997</v>
      </c>
    </row>
    <row r="251" spans="1:17" x14ac:dyDescent="0.25">
      <c r="A251" s="3" t="s">
        <v>659</v>
      </c>
      <c r="B251" s="3" t="s">
        <v>11</v>
      </c>
      <c r="C251" s="3" t="s">
        <v>12</v>
      </c>
      <c r="D251" s="3" t="s">
        <v>47</v>
      </c>
      <c r="E251" s="3" t="s">
        <v>90</v>
      </c>
      <c r="F251" s="3" t="s">
        <v>15</v>
      </c>
      <c r="G251" s="3" t="s">
        <v>16</v>
      </c>
      <c r="H251" s="3" t="s">
        <v>559</v>
      </c>
      <c r="I251" s="4" t="s">
        <v>18</v>
      </c>
      <c r="J251" s="4">
        <v>3</v>
      </c>
      <c r="K251" s="4"/>
      <c r="L251" s="5">
        <v>347680</v>
      </c>
      <c r="M251" s="7">
        <v>292503</v>
      </c>
      <c r="N251" s="6">
        <v>292503</v>
      </c>
      <c r="O251" s="43">
        <f>'[6]6115REV'!$M$29</f>
        <v>369259.31999999995</v>
      </c>
      <c r="P251" s="38">
        <v>92141.79</v>
      </c>
      <c r="Q251" s="38">
        <f>'[7]6115REV'!$M$29</f>
        <v>369259.31999999995</v>
      </c>
    </row>
    <row r="252" spans="1:17" x14ac:dyDescent="0.25">
      <c r="A252" s="3" t="s">
        <v>643</v>
      </c>
      <c r="B252" s="3" t="s">
        <v>11</v>
      </c>
      <c r="C252" s="3" t="s">
        <v>12</v>
      </c>
      <c r="D252" s="3" t="s">
        <v>45</v>
      </c>
      <c r="E252" s="3" t="s">
        <v>90</v>
      </c>
      <c r="F252" s="3" t="s">
        <v>37</v>
      </c>
      <c r="G252" s="3" t="s">
        <v>16</v>
      </c>
      <c r="H252" s="3" t="s">
        <v>559</v>
      </c>
      <c r="I252" s="4" t="s">
        <v>38</v>
      </c>
      <c r="J252" s="4">
        <v>3</v>
      </c>
      <c r="K252" s="4"/>
      <c r="L252" s="5">
        <v>20464</v>
      </c>
      <c r="M252" s="7">
        <v>14374</v>
      </c>
      <c r="N252" s="6">
        <v>14374</v>
      </c>
      <c r="O252" s="43">
        <f>'[6]6115REV'!$N$29</f>
        <v>30696</v>
      </c>
      <c r="P252" s="38">
        <v>3195</v>
      </c>
      <c r="Q252" s="57">
        <f>'[7]6115REV'!$N$29</f>
        <v>23874</v>
      </c>
    </row>
    <row r="253" spans="1:17" x14ac:dyDescent="0.25">
      <c r="A253" s="3" t="s">
        <v>658</v>
      </c>
      <c r="B253" s="3" t="s">
        <v>11</v>
      </c>
      <c r="C253" s="3" t="s">
        <v>12</v>
      </c>
      <c r="D253" s="3" t="s">
        <v>156</v>
      </c>
      <c r="E253" s="3" t="s">
        <v>90</v>
      </c>
      <c r="F253" s="3" t="s">
        <v>15</v>
      </c>
      <c r="G253" s="3" t="s">
        <v>16</v>
      </c>
      <c r="H253" s="3" t="s">
        <v>559</v>
      </c>
      <c r="I253" s="4" t="s">
        <v>18</v>
      </c>
      <c r="J253" s="4">
        <v>3</v>
      </c>
      <c r="K253" s="4"/>
      <c r="L253" s="5">
        <v>28678</v>
      </c>
      <c r="M253" s="7">
        <v>30351</v>
      </c>
      <c r="N253" s="6">
        <v>30351</v>
      </c>
      <c r="O253" s="43">
        <f>'[6]6115REV'!$P$29</f>
        <v>32679.72</v>
      </c>
      <c r="P253" s="38">
        <v>10893.24</v>
      </c>
      <c r="Q253" s="38">
        <f>'[7]6115REV'!$P$29</f>
        <v>32679.72</v>
      </c>
    </row>
    <row r="254" spans="1:17" x14ac:dyDescent="0.25">
      <c r="A254" s="3" t="s">
        <v>650</v>
      </c>
      <c r="B254" s="3" t="s">
        <v>11</v>
      </c>
      <c r="C254" s="3" t="s">
        <v>12</v>
      </c>
      <c r="D254" s="3" t="s">
        <v>151</v>
      </c>
      <c r="E254" s="3" t="s">
        <v>90</v>
      </c>
      <c r="F254" s="3" t="s">
        <v>15</v>
      </c>
      <c r="G254" s="3" t="s">
        <v>16</v>
      </c>
      <c r="H254" s="3" t="s">
        <v>559</v>
      </c>
      <c r="I254" s="4" t="s">
        <v>18</v>
      </c>
      <c r="J254" s="4">
        <v>3</v>
      </c>
      <c r="K254" s="4"/>
      <c r="L254" s="5">
        <v>2475</v>
      </c>
      <c r="M254" s="7">
        <v>1780</v>
      </c>
      <c r="N254" s="6">
        <v>1780</v>
      </c>
      <c r="O254" s="43">
        <f>'[6]6115REV'!$R$29</f>
        <v>2625</v>
      </c>
      <c r="P254" s="38">
        <v>363.48</v>
      </c>
      <c r="Q254" s="57">
        <f>'[7]6115REV'!$R$29</f>
        <v>2222.5</v>
      </c>
    </row>
    <row r="255" spans="1:17" x14ac:dyDescent="0.25">
      <c r="A255" s="3" t="s">
        <v>649</v>
      </c>
      <c r="B255" s="3" t="s">
        <v>11</v>
      </c>
      <c r="C255" s="3" t="s">
        <v>12</v>
      </c>
      <c r="D255" s="3" t="s">
        <v>30</v>
      </c>
      <c r="E255" s="3" t="s">
        <v>90</v>
      </c>
      <c r="F255" s="3" t="s">
        <v>15</v>
      </c>
      <c r="G255" s="3" t="s">
        <v>16</v>
      </c>
      <c r="H255" s="3" t="s">
        <v>559</v>
      </c>
      <c r="I255" s="4" t="s">
        <v>18</v>
      </c>
      <c r="J255" s="4">
        <v>3</v>
      </c>
      <c r="K255" s="4"/>
      <c r="L255" s="5">
        <v>53913.99</v>
      </c>
      <c r="M255" s="7">
        <v>40823</v>
      </c>
      <c r="N255" s="6">
        <v>40823</v>
      </c>
      <c r="O255" s="43">
        <f>'[6]6115REV'!$Q$29</f>
        <v>57150.693341640006</v>
      </c>
      <c r="P255" s="38">
        <v>10385.450000000001</v>
      </c>
      <c r="Q255" s="57">
        <f>'[7]6115REV'!$Q$29</f>
        <v>48437.645262509992</v>
      </c>
    </row>
    <row r="256" spans="1:17" x14ac:dyDescent="0.25">
      <c r="A256" s="3" t="s">
        <v>655</v>
      </c>
      <c r="B256" s="3" t="s">
        <v>11</v>
      </c>
      <c r="C256" s="3" t="s">
        <v>12</v>
      </c>
      <c r="D256" s="3" t="s">
        <v>193</v>
      </c>
      <c r="E256" s="3" t="s">
        <v>90</v>
      </c>
      <c r="F256" s="3" t="s">
        <v>15</v>
      </c>
      <c r="G256" s="3" t="s">
        <v>16</v>
      </c>
      <c r="H256" s="3" t="s">
        <v>559</v>
      </c>
      <c r="I256" s="4" t="s">
        <v>18</v>
      </c>
      <c r="J256" s="4">
        <v>3</v>
      </c>
      <c r="K256" s="4"/>
      <c r="L256" s="5">
        <v>4136</v>
      </c>
      <c r="M256" s="7">
        <v>2068</v>
      </c>
      <c r="N256" s="6">
        <v>2068</v>
      </c>
      <c r="O256" s="43">
        <f>'[6]6115REV'!$S$29</f>
        <v>4136.88</v>
      </c>
      <c r="P256" s="38">
        <v>0</v>
      </c>
      <c r="Q256" s="57">
        <f>'[7]6115REV'!$S$29</f>
        <v>1723.7</v>
      </c>
    </row>
    <row r="257" spans="1:17" x14ac:dyDescent="0.25">
      <c r="A257" s="3" t="s">
        <v>653</v>
      </c>
      <c r="B257" s="3" t="s">
        <v>11</v>
      </c>
      <c r="C257" s="3" t="s">
        <v>12</v>
      </c>
      <c r="D257" s="3" t="s">
        <v>43</v>
      </c>
      <c r="E257" s="3" t="s">
        <v>90</v>
      </c>
      <c r="F257" s="3" t="s">
        <v>15</v>
      </c>
      <c r="G257" s="3" t="s">
        <v>16</v>
      </c>
      <c r="H257" s="3" t="s">
        <v>559</v>
      </c>
      <c r="I257" s="4" t="s">
        <v>18</v>
      </c>
      <c r="J257" s="4">
        <v>3</v>
      </c>
      <c r="K257" s="4"/>
      <c r="L257" s="5">
        <v>36477.21</v>
      </c>
      <c r="M257" s="7">
        <v>32592</v>
      </c>
      <c r="N257" s="6">
        <v>32592</v>
      </c>
      <c r="O257" s="43">
        <f>'[6]6115REV'!$T$29</f>
        <v>37102.651566240005</v>
      </c>
      <c r="P257" s="38">
        <v>5794.53</v>
      </c>
      <c r="Q257" s="57">
        <f>'[7]6115REV'!$T$29</f>
        <v>32905.671272430001</v>
      </c>
    </row>
    <row r="258" spans="1:17" x14ac:dyDescent="0.25">
      <c r="A258" s="3" t="s">
        <v>557</v>
      </c>
      <c r="B258" s="3" t="s">
        <v>11</v>
      </c>
      <c r="C258" s="3" t="s">
        <v>12</v>
      </c>
      <c r="D258" s="3" t="s">
        <v>157</v>
      </c>
      <c r="E258" s="3" t="s">
        <v>527</v>
      </c>
      <c r="F258" s="3" t="s">
        <v>15</v>
      </c>
      <c r="G258" s="3" t="s">
        <v>16</v>
      </c>
      <c r="H258" s="3" t="s">
        <v>528</v>
      </c>
      <c r="I258" s="4" t="s">
        <v>18</v>
      </c>
      <c r="J258" s="4">
        <v>3</v>
      </c>
      <c r="K258" s="4"/>
      <c r="L258" s="5">
        <v>2850898.01</v>
      </c>
      <c r="M258" s="7">
        <v>2622100</v>
      </c>
      <c r="N258" s="6">
        <v>2622100</v>
      </c>
      <c r="O258" s="43">
        <f>'[6]6114ASSETS'!$E$10</f>
        <v>1888435.2942000001</v>
      </c>
      <c r="P258" s="38">
        <v>584694.19999999995</v>
      </c>
      <c r="Q258" s="57">
        <f>'[7]6115REV'!$E$10</f>
        <v>461678.33304300002</v>
      </c>
    </row>
    <row r="259" spans="1:17" x14ac:dyDescent="0.25">
      <c r="A259" s="3" t="s">
        <v>1195</v>
      </c>
      <c r="B259" s="3" t="s">
        <v>86</v>
      </c>
      <c r="C259" s="3" t="s">
        <v>12</v>
      </c>
      <c r="D259" s="3" t="s">
        <v>1641</v>
      </c>
      <c r="E259" s="3" t="s">
        <v>37</v>
      </c>
      <c r="F259" s="3" t="s">
        <v>16</v>
      </c>
      <c r="G259" s="3" t="s">
        <v>528</v>
      </c>
      <c r="H259" s="1"/>
      <c r="I259" s="1"/>
      <c r="J259" s="1"/>
      <c r="K259" s="1"/>
      <c r="L259" s="6">
        <v>0</v>
      </c>
      <c r="M259" s="7">
        <v>38591</v>
      </c>
      <c r="N259" s="6">
        <v>38591</v>
      </c>
      <c r="O259" s="38">
        <v>0</v>
      </c>
      <c r="P259" s="38">
        <v>0</v>
      </c>
      <c r="Q259" s="57">
        <v>12000</v>
      </c>
    </row>
    <row r="260" spans="1:17" x14ac:dyDescent="0.25">
      <c r="A260" s="3" t="s">
        <v>553</v>
      </c>
      <c r="B260" s="3" t="s">
        <v>11</v>
      </c>
      <c r="C260" s="3" t="s">
        <v>12</v>
      </c>
      <c r="D260" s="3" t="s">
        <v>1630</v>
      </c>
      <c r="E260" s="3" t="s">
        <v>527</v>
      </c>
      <c r="F260" s="3" t="s">
        <v>15</v>
      </c>
      <c r="G260" s="3" t="s">
        <v>16</v>
      </c>
      <c r="H260" s="3" t="s">
        <v>528</v>
      </c>
      <c r="I260" s="4" t="s">
        <v>18</v>
      </c>
      <c r="J260" s="4">
        <v>3</v>
      </c>
      <c r="K260" s="4"/>
      <c r="L260" s="5">
        <v>70000</v>
      </c>
      <c r="M260" s="7">
        <v>120000</v>
      </c>
      <c r="N260" s="6">
        <v>120000</v>
      </c>
      <c r="O260" s="38">
        <v>60000</v>
      </c>
      <c r="P260" s="38">
        <v>26711.88</v>
      </c>
      <c r="Q260" s="38">
        <v>60000</v>
      </c>
    </row>
    <row r="261" spans="1:17" x14ac:dyDescent="0.25">
      <c r="A261" s="3" t="s">
        <v>555</v>
      </c>
      <c r="B261" s="3" t="s">
        <v>11</v>
      </c>
      <c r="C261" s="3" t="s">
        <v>12</v>
      </c>
      <c r="D261" s="3" t="s">
        <v>153</v>
      </c>
      <c r="E261" s="3" t="s">
        <v>527</v>
      </c>
      <c r="F261" s="3" t="s">
        <v>15</v>
      </c>
      <c r="G261" s="3" t="s">
        <v>16</v>
      </c>
      <c r="H261" s="3" t="s">
        <v>528</v>
      </c>
      <c r="I261" s="4" t="s">
        <v>18</v>
      </c>
      <c r="J261" s="4">
        <v>3</v>
      </c>
      <c r="K261" s="4"/>
      <c r="L261" s="5">
        <v>265446.69</v>
      </c>
      <c r="M261" s="7">
        <v>229327</v>
      </c>
      <c r="N261" s="6">
        <v>229327</v>
      </c>
      <c r="O261" s="43">
        <f>'[6]6114ASSETS'!$I$10</f>
        <v>157369.60785</v>
      </c>
      <c r="P261" s="38">
        <v>47704.3</v>
      </c>
      <c r="Q261" s="38">
        <f>'[7]6115REV'!$I$10</f>
        <v>111081.92841299999</v>
      </c>
    </row>
    <row r="262" spans="1:17" x14ac:dyDescent="0.25">
      <c r="A262" s="3" t="s">
        <v>554</v>
      </c>
      <c r="B262" s="3" t="s">
        <v>11</v>
      </c>
      <c r="C262" s="3" t="s">
        <v>12</v>
      </c>
      <c r="D262" s="3" t="s">
        <v>155</v>
      </c>
      <c r="E262" s="3" t="s">
        <v>527</v>
      </c>
      <c r="F262" s="3" t="s">
        <v>15</v>
      </c>
      <c r="G262" s="3" t="s">
        <v>16</v>
      </c>
      <c r="H262" s="3" t="s">
        <v>528</v>
      </c>
      <c r="I262" s="4" t="s">
        <v>18</v>
      </c>
      <c r="J262" s="4">
        <v>3</v>
      </c>
      <c r="K262" s="4"/>
      <c r="L262" s="5">
        <v>16267</v>
      </c>
      <c r="M262" s="7">
        <v>16267</v>
      </c>
      <c r="N262" s="6">
        <v>16267</v>
      </c>
      <c r="O262" s="43">
        <f>'[6]6114ASSETS'!$J$10</f>
        <v>0</v>
      </c>
      <c r="P262" s="38">
        <v>0</v>
      </c>
      <c r="Q262" s="38">
        <v>0</v>
      </c>
    </row>
    <row r="263" spans="1:17" x14ac:dyDescent="0.25">
      <c r="A263" s="3" t="s">
        <v>552</v>
      </c>
      <c r="B263" s="3" t="s">
        <v>11</v>
      </c>
      <c r="C263" s="3" t="s">
        <v>12</v>
      </c>
      <c r="D263" s="3" t="s">
        <v>41</v>
      </c>
      <c r="E263" s="3" t="s">
        <v>527</v>
      </c>
      <c r="F263" s="3" t="s">
        <v>15</v>
      </c>
      <c r="G263" s="3" t="s">
        <v>16</v>
      </c>
      <c r="H263" s="3" t="s">
        <v>528</v>
      </c>
      <c r="I263" s="4" t="s">
        <v>18</v>
      </c>
      <c r="J263" s="4">
        <v>3</v>
      </c>
      <c r="K263" s="4"/>
      <c r="L263" s="5">
        <v>627197.56000000006</v>
      </c>
      <c r="M263" s="7">
        <v>574993</v>
      </c>
      <c r="N263" s="6">
        <v>574993</v>
      </c>
      <c r="O263" s="43">
        <f>'[6]6114ASSETS'!$K$10</f>
        <v>415455.76472400001</v>
      </c>
      <c r="P263" s="38">
        <v>128632.74</v>
      </c>
      <c r="Q263" s="57">
        <f>'[7]6115REV'!$K$10</f>
        <v>101569.23326946</v>
      </c>
    </row>
    <row r="264" spans="1:17" x14ac:dyDescent="0.25">
      <c r="A264" s="3" t="s">
        <v>550</v>
      </c>
      <c r="B264" s="3" t="s">
        <v>11</v>
      </c>
      <c r="C264" s="3" t="s">
        <v>12</v>
      </c>
      <c r="D264" s="3" t="s">
        <v>36</v>
      </c>
      <c r="E264" s="3" t="s">
        <v>527</v>
      </c>
      <c r="F264" s="3" t="s">
        <v>15</v>
      </c>
      <c r="G264" s="3" t="s">
        <v>16</v>
      </c>
      <c r="H264" s="3" t="s">
        <v>528</v>
      </c>
      <c r="I264" s="4" t="s">
        <v>18</v>
      </c>
      <c r="J264" s="4">
        <v>3</v>
      </c>
      <c r="K264" s="4"/>
      <c r="L264" s="5">
        <v>176457.60000000001</v>
      </c>
      <c r="M264" s="7">
        <v>222335</v>
      </c>
      <c r="N264" s="6">
        <v>222335</v>
      </c>
      <c r="O264" s="43">
        <f>'[6]6114ASSETS'!$L$10</f>
        <v>113438.39999999999</v>
      </c>
      <c r="P264" s="38">
        <v>52417.8</v>
      </c>
      <c r="Q264" s="38">
        <f>'[7]6115REV'!$L$10</f>
        <v>13035</v>
      </c>
    </row>
    <row r="265" spans="1:17" x14ac:dyDescent="0.25">
      <c r="A265" s="3" t="s">
        <v>558</v>
      </c>
      <c r="B265" s="3" t="s">
        <v>11</v>
      </c>
      <c r="C265" s="3" t="s">
        <v>12</v>
      </c>
      <c r="D265" s="3" t="s">
        <v>47</v>
      </c>
      <c r="E265" s="3" t="s">
        <v>527</v>
      </c>
      <c r="F265" s="3" t="s">
        <v>15</v>
      </c>
      <c r="G265" s="3" t="s">
        <v>16</v>
      </c>
      <c r="H265" s="3" t="s">
        <v>528</v>
      </c>
      <c r="I265" s="4" t="s">
        <v>18</v>
      </c>
      <c r="J265" s="4">
        <v>3</v>
      </c>
      <c r="K265" s="4"/>
      <c r="L265" s="5">
        <v>620949</v>
      </c>
      <c r="M265" s="7">
        <v>512665</v>
      </c>
      <c r="N265" s="6">
        <v>512665</v>
      </c>
      <c r="O265" s="43">
        <f>'[6]6114ASSETS'!$M$10</f>
        <v>370974.71999999997</v>
      </c>
      <c r="P265" s="38">
        <v>123999.87</v>
      </c>
      <c r="Q265" s="38">
        <f>'[7]6115REV'!$M$10</f>
        <v>0</v>
      </c>
    </row>
    <row r="266" spans="1:17" x14ac:dyDescent="0.25">
      <c r="A266" s="3" t="s">
        <v>526</v>
      </c>
      <c r="B266" s="3" t="s">
        <v>11</v>
      </c>
      <c r="C266" s="3" t="s">
        <v>12</v>
      </c>
      <c r="D266" s="3" t="s">
        <v>45</v>
      </c>
      <c r="E266" s="3" t="s">
        <v>527</v>
      </c>
      <c r="F266" s="3" t="s">
        <v>37</v>
      </c>
      <c r="G266" s="3" t="s">
        <v>16</v>
      </c>
      <c r="H266" s="3" t="s">
        <v>528</v>
      </c>
      <c r="I266" s="4" t="s">
        <v>38</v>
      </c>
      <c r="J266" s="4">
        <v>1</v>
      </c>
      <c r="K266" s="4"/>
      <c r="L266" s="12">
        <v>14400</v>
      </c>
      <c r="M266" s="13">
        <v>12100</v>
      </c>
      <c r="N266" s="9">
        <v>12100</v>
      </c>
      <c r="O266" s="43">
        <f>'[6]6114ASSETS'!$N$10</f>
        <v>12000</v>
      </c>
      <c r="P266" s="38">
        <v>5751</v>
      </c>
      <c r="Q266" s="38">
        <f>'[7]6115REV'!$N$10</f>
        <v>2274</v>
      </c>
    </row>
    <row r="267" spans="1:17" x14ac:dyDescent="0.25">
      <c r="A267" s="31" t="s">
        <v>556</v>
      </c>
      <c r="B267" s="31" t="s">
        <v>11</v>
      </c>
      <c r="C267" s="31" t="s">
        <v>12</v>
      </c>
      <c r="D267" s="31" t="s">
        <v>156</v>
      </c>
      <c r="E267" s="31" t="s">
        <v>527</v>
      </c>
      <c r="F267" s="31" t="s">
        <v>15</v>
      </c>
      <c r="G267" s="31" t="s">
        <v>16</v>
      </c>
      <c r="H267" s="31" t="s">
        <v>528</v>
      </c>
      <c r="I267" s="32" t="s">
        <v>18</v>
      </c>
      <c r="J267" s="32">
        <v>3</v>
      </c>
      <c r="K267" s="32"/>
      <c r="L267" s="33">
        <v>9559</v>
      </c>
      <c r="M267" s="36">
        <v>10117</v>
      </c>
      <c r="N267" s="34">
        <v>10117</v>
      </c>
      <c r="O267" s="43">
        <f>'[6]6114ASSETS'!$P$10</f>
        <v>10893.24</v>
      </c>
      <c r="P267" s="38">
        <v>2723.31</v>
      </c>
      <c r="Q267" s="38">
        <f>'[7]6115REV'!$P$10</f>
        <v>0</v>
      </c>
    </row>
    <row r="268" spans="1:17" x14ac:dyDescent="0.25">
      <c r="A268" s="3" t="s">
        <v>549</v>
      </c>
      <c r="B268" s="3" t="s">
        <v>11</v>
      </c>
      <c r="C268" s="3" t="s">
        <v>12</v>
      </c>
      <c r="D268" s="3" t="s">
        <v>151</v>
      </c>
      <c r="E268" s="3" t="s">
        <v>527</v>
      </c>
      <c r="F268" s="3" t="s">
        <v>15</v>
      </c>
      <c r="G268" s="3" t="s">
        <v>16</v>
      </c>
      <c r="H268" s="3" t="s">
        <v>528</v>
      </c>
      <c r="I268" s="4" t="s">
        <v>18</v>
      </c>
      <c r="J268" s="4">
        <v>3</v>
      </c>
      <c r="K268" s="4"/>
      <c r="L268" s="5">
        <v>990</v>
      </c>
      <c r="M268" s="7">
        <v>976</v>
      </c>
      <c r="N268" s="6">
        <v>976</v>
      </c>
      <c r="O268" s="43">
        <f>'[6]6114ASSETS'!$R$10</f>
        <v>630</v>
      </c>
      <c r="P268" s="38">
        <v>195.72</v>
      </c>
      <c r="Q268" s="57">
        <f>'[7]6115REV'!$R$10</f>
        <v>227.5</v>
      </c>
    </row>
    <row r="269" spans="1:17" x14ac:dyDescent="0.25">
      <c r="A269" s="3" t="s">
        <v>548</v>
      </c>
      <c r="B269" s="3" t="s">
        <v>11</v>
      </c>
      <c r="C269" s="3" t="s">
        <v>12</v>
      </c>
      <c r="D269" s="3" t="s">
        <v>30</v>
      </c>
      <c r="E269" s="3" t="s">
        <v>527</v>
      </c>
      <c r="F269" s="3" t="s">
        <v>15</v>
      </c>
      <c r="G269" s="3" t="s">
        <v>16</v>
      </c>
      <c r="H269" s="3" t="s">
        <v>528</v>
      </c>
      <c r="I269" s="4" t="s">
        <v>18</v>
      </c>
      <c r="J269" s="4">
        <v>3</v>
      </c>
      <c r="K269" s="4"/>
      <c r="L269" s="5">
        <v>28508.98</v>
      </c>
      <c r="M269" s="7">
        <v>30282</v>
      </c>
      <c r="N269" s="6">
        <v>30282</v>
      </c>
      <c r="O269" s="43">
        <f>'[6]6114ASSETS'!$Q$10</f>
        <v>18884.352942000001</v>
      </c>
      <c r="P269" s="38">
        <v>7811.74</v>
      </c>
      <c r="Q269" s="57">
        <f>'[7]6115REV'!$Q$10</f>
        <v>4616.7833304300002</v>
      </c>
    </row>
    <row r="270" spans="1:17" x14ac:dyDescent="0.25">
      <c r="A270" s="3" t="s">
        <v>551</v>
      </c>
      <c r="B270" s="3" t="s">
        <v>11</v>
      </c>
      <c r="C270" s="3" t="s">
        <v>12</v>
      </c>
      <c r="D270" s="3" t="s">
        <v>43</v>
      </c>
      <c r="E270" s="3" t="s">
        <v>527</v>
      </c>
      <c r="F270" s="3" t="s">
        <v>15</v>
      </c>
      <c r="G270" s="3" t="s">
        <v>16</v>
      </c>
      <c r="H270" s="3" t="s">
        <v>528</v>
      </c>
      <c r="I270" s="4" t="s">
        <v>18</v>
      </c>
      <c r="J270" s="4">
        <v>3</v>
      </c>
      <c r="K270" s="4"/>
      <c r="L270" s="5">
        <v>15172.87</v>
      </c>
      <c r="M270" s="7">
        <v>19808</v>
      </c>
      <c r="N270" s="6">
        <v>19808</v>
      </c>
      <c r="O270" s="43">
        <f>'[6]6114ASSETS'!$T$10</f>
        <v>8984.16</v>
      </c>
      <c r="P270" s="38">
        <v>3123.12</v>
      </c>
      <c r="Q270" s="57" t="e">
        <f>'[7]6115REV'!$T$10</f>
        <v>#REF!</v>
      </c>
    </row>
    <row r="271" spans="1:17" x14ac:dyDescent="0.25">
      <c r="A271" s="3" t="s">
        <v>509</v>
      </c>
      <c r="B271" s="3" t="s">
        <v>11</v>
      </c>
      <c r="C271" s="3" t="s">
        <v>12</v>
      </c>
      <c r="D271" s="3" t="s">
        <v>157</v>
      </c>
      <c r="E271" s="3" t="s">
        <v>497</v>
      </c>
      <c r="F271" s="3" t="s">
        <v>15</v>
      </c>
      <c r="G271" s="3" t="s">
        <v>16</v>
      </c>
      <c r="H271" s="3" t="s">
        <v>498</v>
      </c>
      <c r="I271" s="4" t="s">
        <v>18</v>
      </c>
      <c r="J271" s="4">
        <v>3</v>
      </c>
      <c r="K271" s="4"/>
      <c r="L271" s="12">
        <v>1998715.57</v>
      </c>
      <c r="M271" s="13">
        <v>1480013</v>
      </c>
      <c r="N271" s="9">
        <v>1480013</v>
      </c>
      <c r="O271" s="43">
        <f>'[6]6113SCM'!$E$15</f>
        <v>3489723.1711800001</v>
      </c>
      <c r="P271" s="39">
        <v>209285.61</v>
      </c>
      <c r="Q271" s="57">
        <f>'[7]6115REV'!$E$15</f>
        <v>0</v>
      </c>
    </row>
    <row r="272" spans="1:17" x14ac:dyDescent="0.25">
      <c r="A272" s="3" t="s">
        <v>505</v>
      </c>
      <c r="B272" s="3" t="s">
        <v>11</v>
      </c>
      <c r="C272" s="3" t="s">
        <v>12</v>
      </c>
      <c r="D272" s="3" t="s">
        <v>86</v>
      </c>
      <c r="E272" s="3" t="s">
        <v>497</v>
      </c>
      <c r="F272" s="3" t="s">
        <v>37</v>
      </c>
      <c r="G272" s="3" t="s">
        <v>16</v>
      </c>
      <c r="H272" s="3" t="s">
        <v>498</v>
      </c>
      <c r="I272" s="4" t="s">
        <v>38</v>
      </c>
      <c r="J272" s="4">
        <v>1</v>
      </c>
      <c r="K272" s="4"/>
      <c r="L272" s="12">
        <v>0</v>
      </c>
      <c r="M272" s="13">
        <v>0</v>
      </c>
      <c r="N272" s="9">
        <v>0</v>
      </c>
      <c r="O272" s="43">
        <f>'[8]6113SCM'!$G$12</f>
        <v>0</v>
      </c>
      <c r="P272" s="39"/>
      <c r="Q272" s="38"/>
    </row>
    <row r="273" spans="1:17" x14ac:dyDescent="0.25">
      <c r="A273" s="3" t="s">
        <v>503</v>
      </c>
      <c r="B273" s="3" t="s">
        <v>11</v>
      </c>
      <c r="C273" s="3" t="s">
        <v>12</v>
      </c>
      <c r="D273" s="3" t="s">
        <v>1630</v>
      </c>
      <c r="E273" s="3" t="s">
        <v>497</v>
      </c>
      <c r="F273" s="3" t="s">
        <v>15</v>
      </c>
      <c r="G273" s="3" t="s">
        <v>16</v>
      </c>
      <c r="H273" s="3" t="s">
        <v>498</v>
      </c>
      <c r="I273" s="4" t="s">
        <v>18</v>
      </c>
      <c r="J273" s="4">
        <v>3</v>
      </c>
      <c r="K273" s="4"/>
      <c r="L273" s="12">
        <v>50000</v>
      </c>
      <c r="M273" s="13">
        <v>30000</v>
      </c>
      <c r="N273" s="9">
        <v>30000</v>
      </c>
      <c r="O273" s="43">
        <v>20000</v>
      </c>
      <c r="P273" s="39">
        <v>0</v>
      </c>
      <c r="Q273" s="38">
        <v>20000</v>
      </c>
    </row>
    <row r="274" spans="1:17" x14ac:dyDescent="0.25">
      <c r="A274" s="3" t="s">
        <v>506</v>
      </c>
      <c r="B274" s="3" t="s">
        <v>11</v>
      </c>
      <c r="C274" s="3" t="s">
        <v>12</v>
      </c>
      <c r="D274" s="3" t="s">
        <v>153</v>
      </c>
      <c r="E274" s="3" t="s">
        <v>497</v>
      </c>
      <c r="F274" s="3" t="s">
        <v>15</v>
      </c>
      <c r="G274" s="3" t="s">
        <v>16</v>
      </c>
      <c r="H274" s="3" t="s">
        <v>498</v>
      </c>
      <c r="I274" s="4" t="s">
        <v>18</v>
      </c>
      <c r="J274" s="4">
        <v>3</v>
      </c>
      <c r="K274" s="4"/>
      <c r="L274" s="12">
        <v>166559.63</v>
      </c>
      <c r="M274" s="13">
        <v>148119</v>
      </c>
      <c r="N274" s="9">
        <v>148119</v>
      </c>
      <c r="O274" s="43">
        <f>'[6]6113SCM'!$I$15</f>
        <v>290810.26426500006</v>
      </c>
      <c r="P274" s="39">
        <v>0</v>
      </c>
      <c r="Q274" s="38">
        <f>'[7]6115REV'!$I$15</f>
        <v>0</v>
      </c>
    </row>
    <row r="275" spans="1:17" x14ac:dyDescent="0.25">
      <c r="A275" s="3" t="s">
        <v>501</v>
      </c>
      <c r="B275" s="3" t="s">
        <v>11</v>
      </c>
      <c r="C275" s="3" t="s">
        <v>12</v>
      </c>
      <c r="D275" s="3" t="s">
        <v>41</v>
      </c>
      <c r="E275" s="3" t="s">
        <v>497</v>
      </c>
      <c r="F275" s="3" t="s">
        <v>15</v>
      </c>
      <c r="G275" s="3" t="s">
        <v>16</v>
      </c>
      <c r="H275" s="3" t="s">
        <v>498</v>
      </c>
      <c r="I275" s="4" t="s">
        <v>18</v>
      </c>
      <c r="J275" s="4">
        <v>3</v>
      </c>
      <c r="K275" s="4"/>
      <c r="L275" s="12">
        <v>439717.43</v>
      </c>
      <c r="M275" s="13">
        <v>308396</v>
      </c>
      <c r="N275" s="9">
        <v>308396</v>
      </c>
      <c r="O275" s="43">
        <f>'[6]6113SCM'!$K$15</f>
        <v>767739.09765959973</v>
      </c>
      <c r="P275" s="39">
        <v>42115.71</v>
      </c>
      <c r="Q275" s="57">
        <f>'[7]6115REV'!$K$15</f>
        <v>0</v>
      </c>
    </row>
    <row r="276" spans="1:17" x14ac:dyDescent="0.25">
      <c r="A276" s="3" t="s">
        <v>500</v>
      </c>
      <c r="B276" s="3" t="s">
        <v>11</v>
      </c>
      <c r="C276" s="3" t="s">
        <v>12</v>
      </c>
      <c r="D276" s="3" t="s">
        <v>36</v>
      </c>
      <c r="E276" s="3" t="s">
        <v>497</v>
      </c>
      <c r="F276" s="3" t="s">
        <v>15</v>
      </c>
      <c r="G276" s="3" t="s">
        <v>16</v>
      </c>
      <c r="H276" s="3" t="s">
        <v>498</v>
      </c>
      <c r="I276" s="4" t="s">
        <v>18</v>
      </c>
      <c r="J276" s="4">
        <v>3</v>
      </c>
      <c r="K276" s="4"/>
      <c r="L276" s="12">
        <v>102936</v>
      </c>
      <c r="M276" s="13">
        <v>77670</v>
      </c>
      <c r="N276" s="9">
        <v>77670</v>
      </c>
      <c r="O276" s="43">
        <f>'[6]6113SCM'!$L$15</f>
        <v>139094.39999999999</v>
      </c>
      <c r="P276" s="39">
        <v>13477.05</v>
      </c>
      <c r="Q276" s="38">
        <f>'[7]6115REV'!$L$15</f>
        <v>0</v>
      </c>
    </row>
    <row r="277" spans="1:17" x14ac:dyDescent="0.25">
      <c r="A277" s="3" t="s">
        <v>508</v>
      </c>
      <c r="B277" s="3" t="s">
        <v>11</v>
      </c>
      <c r="C277" s="3" t="s">
        <v>12</v>
      </c>
      <c r="D277" s="3" t="s">
        <v>47</v>
      </c>
      <c r="E277" s="3" t="s">
        <v>497</v>
      </c>
      <c r="F277" s="3" t="s">
        <v>15</v>
      </c>
      <c r="G277" s="3" t="s">
        <v>16</v>
      </c>
      <c r="H277" s="3" t="s">
        <v>498</v>
      </c>
      <c r="I277" s="4" t="s">
        <v>18</v>
      </c>
      <c r="J277" s="4">
        <v>3</v>
      </c>
      <c r="K277" s="4"/>
      <c r="L277" s="12">
        <v>502902</v>
      </c>
      <c r="M277" s="13">
        <v>311675</v>
      </c>
      <c r="N277" s="9">
        <v>311675</v>
      </c>
      <c r="O277" s="43">
        <f>'[6]6113SCM'!$M$15</f>
        <v>637652.30040000007</v>
      </c>
      <c r="P277" s="39">
        <v>41547.33</v>
      </c>
      <c r="Q277" s="57">
        <f>'[7]6115REV'!$M$15</f>
        <v>0</v>
      </c>
    </row>
    <row r="278" spans="1:17" x14ac:dyDescent="0.25">
      <c r="A278" s="3" t="s">
        <v>525</v>
      </c>
      <c r="B278" s="3" t="s">
        <v>11</v>
      </c>
      <c r="C278" s="3" t="s">
        <v>12</v>
      </c>
      <c r="D278" s="3" t="s">
        <v>45</v>
      </c>
      <c r="E278" s="3" t="s">
        <v>497</v>
      </c>
      <c r="F278" s="3" t="s">
        <v>37</v>
      </c>
      <c r="G278" s="3" t="s">
        <v>16</v>
      </c>
      <c r="H278" s="3" t="s">
        <v>498</v>
      </c>
      <c r="I278" s="4" t="s">
        <v>38</v>
      </c>
      <c r="J278" s="4">
        <v>3</v>
      </c>
      <c r="K278" s="4"/>
      <c r="L278" s="12">
        <v>20464</v>
      </c>
      <c r="M278" s="13">
        <v>14409</v>
      </c>
      <c r="N278" s="9">
        <v>14409</v>
      </c>
      <c r="O278" s="43">
        <f>'[6]6113SCM'!$N$15</f>
        <v>40296</v>
      </c>
      <c r="P278" s="39">
        <v>2556</v>
      </c>
      <c r="Q278" s="57">
        <f>'[7]6115REV'!$N$15</f>
        <v>0</v>
      </c>
    </row>
    <row r="279" spans="1:17" x14ac:dyDescent="0.25">
      <c r="A279" s="3" t="s">
        <v>507</v>
      </c>
      <c r="B279" s="3" t="s">
        <v>11</v>
      </c>
      <c r="C279" s="3" t="s">
        <v>12</v>
      </c>
      <c r="D279" s="3" t="s">
        <v>156</v>
      </c>
      <c r="E279" s="3" t="s">
        <v>497</v>
      </c>
      <c r="F279" s="3" t="s">
        <v>37</v>
      </c>
      <c r="G279" s="3" t="s">
        <v>16</v>
      </c>
      <c r="H279" s="3" t="s">
        <v>498</v>
      </c>
      <c r="I279" s="4" t="s">
        <v>38</v>
      </c>
      <c r="J279" s="4">
        <v>1</v>
      </c>
      <c r="K279" s="4"/>
      <c r="L279" s="12">
        <v>0</v>
      </c>
      <c r="M279" s="13">
        <v>5003</v>
      </c>
      <c r="N279" s="9">
        <v>5003</v>
      </c>
      <c r="O279" s="43">
        <f>'[6]6113SCM'!$P$15</f>
        <v>0</v>
      </c>
      <c r="P279" s="39">
        <v>0</v>
      </c>
      <c r="Q279" s="38">
        <f>'[7]6115REV'!$P$15</f>
        <v>0</v>
      </c>
    </row>
    <row r="280" spans="1:17" x14ac:dyDescent="0.25">
      <c r="A280" s="3" t="s">
        <v>499</v>
      </c>
      <c r="B280" s="3" t="s">
        <v>11</v>
      </c>
      <c r="C280" s="3" t="s">
        <v>12</v>
      </c>
      <c r="D280" s="3" t="s">
        <v>151</v>
      </c>
      <c r="E280" s="3" t="s">
        <v>497</v>
      </c>
      <c r="F280" s="3" t="s">
        <v>15</v>
      </c>
      <c r="G280" s="3" t="s">
        <v>16</v>
      </c>
      <c r="H280" s="3" t="s">
        <v>498</v>
      </c>
      <c r="I280" s="4" t="s">
        <v>18</v>
      </c>
      <c r="J280" s="4">
        <v>3</v>
      </c>
      <c r="K280" s="4"/>
      <c r="L280" s="12">
        <v>495</v>
      </c>
      <c r="M280" s="13">
        <v>436</v>
      </c>
      <c r="N280" s="9">
        <v>436</v>
      </c>
      <c r="O280" s="43">
        <f>'[6]6113SCM'!$R$15</f>
        <v>1155</v>
      </c>
      <c r="P280" s="39">
        <v>55.92</v>
      </c>
      <c r="Q280" s="57">
        <f>'[7]6115REV'!$R$15</f>
        <v>0</v>
      </c>
    </row>
    <row r="281" spans="1:17" x14ac:dyDescent="0.25">
      <c r="A281" s="3" t="s">
        <v>504</v>
      </c>
      <c r="B281" s="3" t="s">
        <v>11</v>
      </c>
      <c r="C281" s="3" t="s">
        <v>12</v>
      </c>
      <c r="D281" s="3" t="s">
        <v>155</v>
      </c>
      <c r="E281" s="3" t="s">
        <v>497</v>
      </c>
      <c r="F281" s="3" t="s">
        <v>37</v>
      </c>
      <c r="G281" s="3" t="s">
        <v>16</v>
      </c>
      <c r="H281" s="3" t="s">
        <v>498</v>
      </c>
      <c r="I281" s="4" t="s">
        <v>38</v>
      </c>
      <c r="J281" s="4">
        <v>1</v>
      </c>
      <c r="K281" s="4"/>
      <c r="L281" s="12">
        <v>0</v>
      </c>
      <c r="M281" s="13">
        <v>0</v>
      </c>
      <c r="N281" s="9">
        <v>0</v>
      </c>
      <c r="O281" s="43">
        <f>'[8]6113SCM'!$J$12</f>
        <v>0</v>
      </c>
      <c r="P281" s="39"/>
      <c r="Q281" s="57"/>
    </row>
    <row r="282" spans="1:17" x14ac:dyDescent="0.25">
      <c r="A282" s="3" t="s">
        <v>496</v>
      </c>
      <c r="B282" s="3" t="s">
        <v>11</v>
      </c>
      <c r="C282" s="3" t="s">
        <v>12</v>
      </c>
      <c r="D282" s="3" t="s">
        <v>30</v>
      </c>
      <c r="E282" s="3" t="s">
        <v>497</v>
      </c>
      <c r="F282" s="3" t="s">
        <v>15</v>
      </c>
      <c r="G282" s="3" t="s">
        <v>16</v>
      </c>
      <c r="H282" s="3" t="s">
        <v>498</v>
      </c>
      <c r="I282" s="4" t="s">
        <v>18</v>
      </c>
      <c r="J282" s="4">
        <v>3</v>
      </c>
      <c r="K282" s="4"/>
      <c r="L282" s="12">
        <v>19987.16</v>
      </c>
      <c r="M282" s="13">
        <v>17483</v>
      </c>
      <c r="N282" s="9">
        <v>17483</v>
      </c>
      <c r="O282" s="43">
        <f>'[6]6113SCM'!$Q$15</f>
        <v>34897.231711799992</v>
      </c>
      <c r="P282" s="39">
        <v>7811.74</v>
      </c>
      <c r="Q282" s="57">
        <f>'[7]6115REV'!$Q$15</f>
        <v>0</v>
      </c>
    </row>
    <row r="283" spans="1:17" x14ac:dyDescent="0.25">
      <c r="A283" s="3" t="s">
        <v>502</v>
      </c>
      <c r="B283" s="3" t="s">
        <v>11</v>
      </c>
      <c r="C283" s="3" t="s">
        <v>12</v>
      </c>
      <c r="D283" s="3" t="s">
        <v>43</v>
      </c>
      <c r="E283" s="3" t="s">
        <v>497</v>
      </c>
      <c r="F283" s="3" t="s">
        <v>15</v>
      </c>
      <c r="G283" s="3" t="s">
        <v>16</v>
      </c>
      <c r="H283" s="3" t="s">
        <v>498</v>
      </c>
      <c r="I283" s="4" t="s">
        <v>18</v>
      </c>
      <c r="J283" s="4">
        <v>3</v>
      </c>
      <c r="K283" s="4"/>
      <c r="L283" s="12">
        <v>7486.8</v>
      </c>
      <c r="M283" s="13">
        <v>10051</v>
      </c>
      <c r="N283" s="9">
        <v>10051</v>
      </c>
      <c r="O283" s="43">
        <f>'[6]6113SCM'!$T$15</f>
        <v>16470.960000000003</v>
      </c>
      <c r="P283" s="39">
        <v>892.32</v>
      </c>
      <c r="Q283" s="57">
        <f>'[7]6115REV'!$T$15</f>
        <v>0</v>
      </c>
    </row>
    <row r="284" spans="1:17" x14ac:dyDescent="0.25">
      <c r="A284" s="3" t="s">
        <v>529</v>
      </c>
      <c r="B284" s="3" t="s">
        <v>11</v>
      </c>
      <c r="C284" s="3" t="s">
        <v>12</v>
      </c>
      <c r="D284" s="3" t="s">
        <v>162</v>
      </c>
      <c r="E284" s="3" t="s">
        <v>497</v>
      </c>
      <c r="F284" s="3" t="s">
        <v>37</v>
      </c>
      <c r="G284" s="3" t="s">
        <v>16</v>
      </c>
      <c r="H284" s="3" t="s">
        <v>498</v>
      </c>
      <c r="I284" s="4" t="s">
        <v>38</v>
      </c>
      <c r="J284" s="4">
        <v>1</v>
      </c>
      <c r="K284" s="4"/>
      <c r="L284" s="12">
        <v>0</v>
      </c>
      <c r="M284" s="13">
        <v>69162</v>
      </c>
      <c r="N284" s="9">
        <v>69162</v>
      </c>
      <c r="O284" s="39">
        <v>0</v>
      </c>
      <c r="P284" s="39"/>
      <c r="Q284" s="38"/>
    </row>
    <row r="285" spans="1:17" x14ac:dyDescent="0.25">
      <c r="A285" s="3" t="s">
        <v>458</v>
      </c>
      <c r="B285" s="3" t="s">
        <v>11</v>
      </c>
      <c r="C285" s="3" t="s">
        <v>12</v>
      </c>
      <c r="D285" s="3" t="s">
        <v>157</v>
      </c>
      <c r="E285" s="3" t="s">
        <v>459</v>
      </c>
      <c r="F285" s="3" t="s">
        <v>15</v>
      </c>
      <c r="G285" s="3" t="s">
        <v>16</v>
      </c>
      <c r="H285" s="3" t="s">
        <v>460</v>
      </c>
      <c r="I285" s="4" t="s">
        <v>18</v>
      </c>
      <c r="J285" s="4">
        <v>3</v>
      </c>
      <c r="K285" s="4"/>
      <c r="L285" s="12">
        <v>1177822.58</v>
      </c>
      <c r="M285" s="13">
        <v>979733</v>
      </c>
      <c r="N285" s="9">
        <v>979733</v>
      </c>
      <c r="O285" s="43">
        <f>'[6]6111FLEET'!$E$9</f>
        <v>1262641.2516000001</v>
      </c>
      <c r="P285" s="39">
        <v>263702.52</v>
      </c>
      <c r="Q285" s="38">
        <f>'[7]6115REV'!$E$9</f>
        <v>0</v>
      </c>
    </row>
    <row r="286" spans="1:17" x14ac:dyDescent="0.25">
      <c r="A286" s="3" t="s">
        <v>467</v>
      </c>
      <c r="B286" s="3" t="s">
        <v>11</v>
      </c>
      <c r="C286" s="3" t="s">
        <v>12</v>
      </c>
      <c r="D286" s="3" t="s">
        <v>1630</v>
      </c>
      <c r="E286" s="3" t="s">
        <v>459</v>
      </c>
      <c r="F286" s="3" t="s">
        <v>15</v>
      </c>
      <c r="G286" s="3" t="s">
        <v>16</v>
      </c>
      <c r="H286" s="3" t="s">
        <v>460</v>
      </c>
      <c r="I286" s="4" t="s">
        <v>18</v>
      </c>
      <c r="J286" s="4">
        <v>3</v>
      </c>
      <c r="K286" s="4"/>
      <c r="L286" s="12">
        <v>10000</v>
      </c>
      <c r="M286" s="13">
        <v>10000</v>
      </c>
      <c r="N286" s="9">
        <v>10000</v>
      </c>
      <c r="O286" s="39">
        <v>7500</v>
      </c>
      <c r="P286" s="39">
        <v>0</v>
      </c>
      <c r="Q286" s="38">
        <v>7500</v>
      </c>
    </row>
    <row r="287" spans="1:17" x14ac:dyDescent="0.25">
      <c r="A287" s="3" t="s">
        <v>468</v>
      </c>
      <c r="B287" s="3" t="s">
        <v>11</v>
      </c>
      <c r="C287" s="3" t="s">
        <v>12</v>
      </c>
      <c r="D287" s="3" t="s">
        <v>153</v>
      </c>
      <c r="E287" s="3" t="s">
        <v>459</v>
      </c>
      <c r="F287" s="3" t="s">
        <v>15</v>
      </c>
      <c r="G287" s="3" t="s">
        <v>16</v>
      </c>
      <c r="H287" s="3" t="s">
        <v>460</v>
      </c>
      <c r="I287" s="4" t="s">
        <v>18</v>
      </c>
      <c r="J287" s="4">
        <v>3</v>
      </c>
      <c r="K287" s="4"/>
      <c r="L287" s="12">
        <v>98151.88</v>
      </c>
      <c r="M287" s="13">
        <v>82536</v>
      </c>
      <c r="N287" s="9">
        <v>82536</v>
      </c>
      <c r="O287" s="43">
        <f>'[6]6111FLEET'!$I$9</f>
        <v>105220.10429999999</v>
      </c>
      <c r="P287" s="39">
        <v>0</v>
      </c>
      <c r="Q287" s="38">
        <f>'[7]6115REV'!$I$9</f>
        <v>0</v>
      </c>
    </row>
    <row r="288" spans="1:17" x14ac:dyDescent="0.25">
      <c r="A288" s="3" t="s">
        <v>469</v>
      </c>
      <c r="B288" s="3" t="s">
        <v>11</v>
      </c>
      <c r="C288" s="3" t="s">
        <v>12</v>
      </c>
      <c r="D288" s="3" t="s">
        <v>155</v>
      </c>
      <c r="E288" s="3" t="s">
        <v>459</v>
      </c>
      <c r="F288" s="3" t="s">
        <v>15</v>
      </c>
      <c r="G288" s="3" t="s">
        <v>16</v>
      </c>
      <c r="H288" s="3" t="s">
        <v>460</v>
      </c>
      <c r="I288" s="4" t="s">
        <v>18</v>
      </c>
      <c r="J288" s="4">
        <v>3</v>
      </c>
      <c r="K288" s="4"/>
      <c r="L288" s="12">
        <v>45358</v>
      </c>
      <c r="M288" s="13">
        <v>45358</v>
      </c>
      <c r="N288" s="9">
        <v>45358</v>
      </c>
      <c r="O288" s="43">
        <f>'[8]6111FLEET'!$J$7</f>
        <v>0</v>
      </c>
      <c r="P288" s="39">
        <v>0</v>
      </c>
      <c r="Q288" s="38">
        <v>0</v>
      </c>
    </row>
    <row r="289" spans="1:17" x14ac:dyDescent="0.25">
      <c r="A289" s="3" t="s">
        <v>465</v>
      </c>
      <c r="B289" s="3" t="s">
        <v>11</v>
      </c>
      <c r="C289" s="3" t="s">
        <v>12</v>
      </c>
      <c r="D289" s="3" t="s">
        <v>41</v>
      </c>
      <c r="E289" s="3" t="s">
        <v>459</v>
      </c>
      <c r="F289" s="3" t="s">
        <v>15</v>
      </c>
      <c r="G289" s="3" t="s">
        <v>16</v>
      </c>
      <c r="H289" s="3" t="s">
        <v>460</v>
      </c>
      <c r="I289" s="4" t="s">
        <v>18</v>
      </c>
      <c r="J289" s="4">
        <v>3</v>
      </c>
      <c r="K289" s="4"/>
      <c r="L289" s="12">
        <v>259120.97</v>
      </c>
      <c r="M289" s="13">
        <v>215519</v>
      </c>
      <c r="N289" s="9">
        <v>215519</v>
      </c>
      <c r="O289" s="43">
        <f>'[6]6111FLEET'!$K$9</f>
        <v>277781.07535200001</v>
      </c>
      <c r="P289" s="39">
        <v>58014.57</v>
      </c>
      <c r="Q289" s="38">
        <f>'[7]6115REV'!$K$9</f>
        <v>0</v>
      </c>
    </row>
    <row r="290" spans="1:17" x14ac:dyDescent="0.25">
      <c r="A290" s="3" t="s">
        <v>464</v>
      </c>
      <c r="B290" s="3" t="s">
        <v>11</v>
      </c>
      <c r="C290" s="3" t="s">
        <v>12</v>
      </c>
      <c r="D290" s="3" t="s">
        <v>36</v>
      </c>
      <c r="E290" s="3" t="s">
        <v>459</v>
      </c>
      <c r="F290" s="3" t="s">
        <v>15</v>
      </c>
      <c r="G290" s="3" t="s">
        <v>16</v>
      </c>
      <c r="H290" s="3" t="s">
        <v>460</v>
      </c>
      <c r="I290" s="4" t="s">
        <v>18</v>
      </c>
      <c r="J290" s="4">
        <v>3</v>
      </c>
      <c r="K290" s="4"/>
      <c r="L290" s="12">
        <v>108120</v>
      </c>
      <c r="M290" s="13">
        <v>78175</v>
      </c>
      <c r="N290" s="9">
        <v>78175</v>
      </c>
      <c r="O290" s="43">
        <f>'[6]6111FLEET'!$L$9</f>
        <v>113407.2</v>
      </c>
      <c r="P290" s="39">
        <v>22012.65</v>
      </c>
      <c r="Q290" s="38">
        <f>'[7]6115REV'!$L$9</f>
        <v>0</v>
      </c>
    </row>
    <row r="291" spans="1:17" x14ac:dyDescent="0.25">
      <c r="A291" s="3" t="s">
        <v>461</v>
      </c>
      <c r="B291" s="3" t="s">
        <v>11</v>
      </c>
      <c r="C291" s="3" t="s">
        <v>12</v>
      </c>
      <c r="D291" s="3" t="s">
        <v>47</v>
      </c>
      <c r="E291" s="3" t="s">
        <v>459</v>
      </c>
      <c r="F291" s="3" t="s">
        <v>15</v>
      </c>
      <c r="G291" s="3" t="s">
        <v>16</v>
      </c>
      <c r="H291" s="3" t="s">
        <v>460</v>
      </c>
      <c r="I291" s="4" t="s">
        <v>18</v>
      </c>
      <c r="J291" s="4">
        <v>3</v>
      </c>
      <c r="K291" s="4"/>
      <c r="L291" s="12">
        <v>156045</v>
      </c>
      <c r="M291" s="13">
        <v>154345</v>
      </c>
      <c r="N291" s="9">
        <v>154345</v>
      </c>
      <c r="O291" s="43">
        <f>'[6]6111FLEET'!$M$9</f>
        <v>166501.44</v>
      </c>
      <c r="P291" s="39">
        <v>41547.33</v>
      </c>
      <c r="Q291" s="38">
        <f>'[7]6115REV'!$M$9</f>
        <v>0</v>
      </c>
    </row>
    <row r="292" spans="1:17" x14ac:dyDescent="0.25">
      <c r="A292" s="3" t="s">
        <v>495</v>
      </c>
      <c r="B292" s="3" t="s">
        <v>11</v>
      </c>
      <c r="C292" s="3" t="s">
        <v>12</v>
      </c>
      <c r="D292" s="3" t="s">
        <v>45</v>
      </c>
      <c r="E292" s="3" t="s">
        <v>459</v>
      </c>
      <c r="F292" s="3" t="s">
        <v>37</v>
      </c>
      <c r="G292" s="3" t="s">
        <v>16</v>
      </c>
      <c r="H292" s="3" t="s">
        <v>460</v>
      </c>
      <c r="I292" s="4" t="s">
        <v>38</v>
      </c>
      <c r="J292" s="4">
        <v>3</v>
      </c>
      <c r="K292" s="4"/>
      <c r="L292" s="12">
        <v>10864</v>
      </c>
      <c r="M292" s="13">
        <v>12122</v>
      </c>
      <c r="N292" s="9">
        <v>12122</v>
      </c>
      <c r="O292" s="43">
        <f>'[6]6111FLEET'!$N$9</f>
        <v>16296</v>
      </c>
      <c r="P292" s="39">
        <v>4338.8100000000004</v>
      </c>
      <c r="Q292" s="38">
        <f>'[7]6115REV'!$N$9</f>
        <v>0</v>
      </c>
    </row>
    <row r="293" spans="1:17" x14ac:dyDescent="0.25">
      <c r="A293" s="3" t="s">
        <v>470</v>
      </c>
      <c r="B293" s="3" t="s">
        <v>11</v>
      </c>
      <c r="C293" s="3" t="s">
        <v>12</v>
      </c>
      <c r="D293" s="3" t="s">
        <v>156</v>
      </c>
      <c r="E293" s="3" t="s">
        <v>459</v>
      </c>
      <c r="F293" s="3" t="s">
        <v>15</v>
      </c>
      <c r="G293" s="3" t="s">
        <v>16</v>
      </c>
      <c r="H293" s="3" t="s">
        <v>460</v>
      </c>
      <c r="I293" s="4" t="s">
        <v>18</v>
      </c>
      <c r="J293" s="4">
        <v>3</v>
      </c>
      <c r="K293" s="4"/>
      <c r="L293" s="12">
        <v>9559</v>
      </c>
      <c r="M293" s="13">
        <v>10117</v>
      </c>
      <c r="N293" s="9">
        <v>10117</v>
      </c>
      <c r="O293" s="43">
        <f>'[6]6111FLEET'!$P$9</f>
        <v>10893.24</v>
      </c>
      <c r="P293" s="39">
        <v>2723.31</v>
      </c>
      <c r="Q293" s="38">
        <f>'[7]6115REV'!$P$9</f>
        <v>0</v>
      </c>
    </row>
    <row r="294" spans="1:17" x14ac:dyDescent="0.25">
      <c r="A294" s="3" t="s">
        <v>462</v>
      </c>
      <c r="B294" s="3" t="s">
        <v>11</v>
      </c>
      <c r="C294" s="3" t="s">
        <v>12</v>
      </c>
      <c r="D294" s="3" t="s">
        <v>151</v>
      </c>
      <c r="E294" s="3" t="s">
        <v>459</v>
      </c>
      <c r="F294" s="3" t="s">
        <v>15</v>
      </c>
      <c r="G294" s="3" t="s">
        <v>16</v>
      </c>
      <c r="H294" s="3" t="s">
        <v>460</v>
      </c>
      <c r="I294" s="4" t="s">
        <v>18</v>
      </c>
      <c r="J294" s="4">
        <v>3</v>
      </c>
      <c r="K294" s="4"/>
      <c r="L294" s="12">
        <v>396</v>
      </c>
      <c r="M294" s="13">
        <v>314</v>
      </c>
      <c r="N294" s="9">
        <v>314</v>
      </c>
      <c r="O294" s="43">
        <f>'[6]6111FLEET'!$R$9</f>
        <v>420</v>
      </c>
      <c r="P294" s="39">
        <v>83.88</v>
      </c>
      <c r="Q294" s="38">
        <f>'[7]6115REV'!$R$9</f>
        <v>0</v>
      </c>
    </row>
    <row r="295" spans="1:17" x14ac:dyDescent="0.25">
      <c r="A295" s="3" t="s">
        <v>463</v>
      </c>
      <c r="B295" s="3" t="s">
        <v>11</v>
      </c>
      <c r="C295" s="3" t="s">
        <v>12</v>
      </c>
      <c r="D295" s="3" t="s">
        <v>30</v>
      </c>
      <c r="E295" s="3" t="s">
        <v>459</v>
      </c>
      <c r="F295" s="3" t="s">
        <v>15</v>
      </c>
      <c r="G295" s="3" t="s">
        <v>16</v>
      </c>
      <c r="H295" s="3" t="s">
        <v>460</v>
      </c>
      <c r="I295" s="4" t="s">
        <v>18</v>
      </c>
      <c r="J295" s="4">
        <v>3</v>
      </c>
      <c r="K295" s="4"/>
      <c r="L295" s="12">
        <v>11778.23</v>
      </c>
      <c r="M295" s="13">
        <v>10833</v>
      </c>
      <c r="N295" s="9">
        <v>10833</v>
      </c>
      <c r="O295" s="43">
        <f>'[6]6111FLEET'!$Q$9</f>
        <v>12626.412516</v>
      </c>
      <c r="P295" s="39">
        <v>3063.21</v>
      </c>
      <c r="Q295" s="38">
        <f>'[7]6115REV'!$Q$9</f>
        <v>0</v>
      </c>
    </row>
    <row r="296" spans="1:17" x14ac:dyDescent="0.25">
      <c r="A296" s="3" t="s">
        <v>466</v>
      </c>
      <c r="B296" s="3" t="s">
        <v>11</v>
      </c>
      <c r="C296" s="3" t="s">
        <v>12</v>
      </c>
      <c r="D296" s="3" t="s">
        <v>43</v>
      </c>
      <c r="E296" s="3" t="s">
        <v>459</v>
      </c>
      <c r="F296" s="3" t="s">
        <v>15</v>
      </c>
      <c r="G296" s="3" t="s">
        <v>16</v>
      </c>
      <c r="H296" s="3" t="s">
        <v>460</v>
      </c>
      <c r="I296" s="4" t="s">
        <v>18</v>
      </c>
      <c r="J296" s="4">
        <v>3</v>
      </c>
      <c r="K296" s="4"/>
      <c r="L296" s="12">
        <v>5989.44</v>
      </c>
      <c r="M296" s="13">
        <v>6647</v>
      </c>
      <c r="N296" s="9">
        <v>6647</v>
      </c>
      <c r="O296" s="43">
        <f>'[6]6111FLEET'!$T$9</f>
        <v>5989.44</v>
      </c>
      <c r="P296" s="39">
        <v>1338.48</v>
      </c>
      <c r="Q296" s="38">
        <f>'[7]6115REV'!$T$9</f>
        <v>0</v>
      </c>
    </row>
    <row r="297" spans="1:17" x14ac:dyDescent="0.25">
      <c r="A297" s="3" t="s">
        <v>432</v>
      </c>
      <c r="B297" s="3" t="s">
        <v>11</v>
      </c>
      <c r="C297" s="3" t="s">
        <v>12</v>
      </c>
      <c r="D297" s="3" t="s">
        <v>157</v>
      </c>
      <c r="E297" s="3" t="s">
        <v>14</v>
      </c>
      <c r="F297" s="3" t="s">
        <v>15</v>
      </c>
      <c r="G297" s="3" t="s">
        <v>16</v>
      </c>
      <c r="H297" s="3" t="s">
        <v>420</v>
      </c>
      <c r="I297" s="4" t="s">
        <v>18</v>
      </c>
      <c r="J297" s="4">
        <v>3</v>
      </c>
      <c r="K297" s="4"/>
      <c r="L297" s="12">
        <v>5858782.2599999998</v>
      </c>
      <c r="M297" s="13">
        <v>5087623</v>
      </c>
      <c r="N297" s="9">
        <v>5087623</v>
      </c>
      <c r="O297" s="42">
        <f>'[6]6109ADM'!$E$31</f>
        <v>6381020.01798</v>
      </c>
      <c r="P297" s="39">
        <v>1420715.05</v>
      </c>
      <c r="Q297" s="57">
        <f>'[7]6115REV'!$E$31</f>
        <v>0</v>
      </c>
    </row>
    <row r="298" spans="1:17" x14ac:dyDescent="0.25">
      <c r="A298" s="3" t="s">
        <v>425</v>
      </c>
      <c r="B298" s="3" t="s">
        <v>11</v>
      </c>
      <c r="C298" s="3" t="s">
        <v>12</v>
      </c>
      <c r="D298" s="3" t="s">
        <v>1630</v>
      </c>
      <c r="E298" s="3" t="s">
        <v>14</v>
      </c>
      <c r="F298" s="3" t="s">
        <v>15</v>
      </c>
      <c r="G298" s="3" t="s">
        <v>16</v>
      </c>
      <c r="H298" s="3" t="s">
        <v>420</v>
      </c>
      <c r="I298" s="4" t="s">
        <v>18</v>
      </c>
      <c r="J298" s="4">
        <v>3</v>
      </c>
      <c r="K298" s="4"/>
      <c r="L298" s="12">
        <v>40000</v>
      </c>
      <c r="M298" s="13">
        <v>60000</v>
      </c>
      <c r="N298" s="9">
        <v>60000</v>
      </c>
      <c r="O298" s="39">
        <v>32500</v>
      </c>
      <c r="P298" s="39">
        <v>22998.63</v>
      </c>
      <c r="Q298" s="38">
        <v>32500</v>
      </c>
    </row>
    <row r="299" spans="1:17" x14ac:dyDescent="0.25">
      <c r="A299" s="3" t="s">
        <v>427</v>
      </c>
      <c r="B299" s="3" t="s">
        <v>11</v>
      </c>
      <c r="C299" s="3" t="s">
        <v>12</v>
      </c>
      <c r="D299" s="3" t="s">
        <v>153</v>
      </c>
      <c r="E299" s="3" t="s">
        <v>14</v>
      </c>
      <c r="F299" s="3" t="s">
        <v>15</v>
      </c>
      <c r="G299" s="3" t="s">
        <v>16</v>
      </c>
      <c r="H299" s="3" t="s">
        <v>420</v>
      </c>
      <c r="I299" s="4" t="s">
        <v>18</v>
      </c>
      <c r="J299" s="4">
        <v>3</v>
      </c>
      <c r="K299" s="4"/>
      <c r="L299" s="12">
        <v>488231.85</v>
      </c>
      <c r="M299" s="13">
        <v>501943</v>
      </c>
      <c r="N299" s="9">
        <v>501943</v>
      </c>
      <c r="O299" s="42">
        <f>'[6]6109ADM'!$I$31</f>
        <v>531751.66816500004</v>
      </c>
      <c r="P299" s="39">
        <v>126485.77</v>
      </c>
      <c r="Q299" s="38">
        <f>'[7]6115REV'!$I$31</f>
        <v>0</v>
      </c>
    </row>
    <row r="300" spans="1:17" x14ac:dyDescent="0.25">
      <c r="A300" s="3" t="s">
        <v>428</v>
      </c>
      <c r="B300" s="3" t="s">
        <v>11</v>
      </c>
      <c r="C300" s="3" t="s">
        <v>12</v>
      </c>
      <c r="D300" s="3" t="s">
        <v>155</v>
      </c>
      <c r="E300" s="3" t="s">
        <v>14</v>
      </c>
      <c r="F300" s="3" t="s">
        <v>15</v>
      </c>
      <c r="G300" s="3" t="s">
        <v>16</v>
      </c>
      <c r="H300" s="3" t="s">
        <v>420</v>
      </c>
      <c r="I300" s="4" t="s">
        <v>18</v>
      </c>
      <c r="J300" s="4">
        <v>3</v>
      </c>
      <c r="K300" s="4"/>
      <c r="L300" s="12">
        <v>198167</v>
      </c>
      <c r="M300" s="13">
        <v>153825</v>
      </c>
      <c r="N300" s="9">
        <v>153825</v>
      </c>
      <c r="O300" s="39">
        <f>'[6]6109ADM'!$J$31</f>
        <v>88304.99</v>
      </c>
      <c r="P300" s="39">
        <v>0</v>
      </c>
      <c r="Q300" s="38">
        <f>'[7]6115REV'!$J$31</f>
        <v>0</v>
      </c>
    </row>
    <row r="301" spans="1:17" x14ac:dyDescent="0.25">
      <c r="A301" s="3" t="s">
        <v>423</v>
      </c>
      <c r="B301" s="3" t="s">
        <v>11</v>
      </c>
      <c r="C301" s="3" t="s">
        <v>12</v>
      </c>
      <c r="D301" s="3" t="s">
        <v>41</v>
      </c>
      <c r="E301" s="3" t="s">
        <v>14</v>
      </c>
      <c r="F301" s="3" t="s">
        <v>15</v>
      </c>
      <c r="G301" s="3" t="s">
        <v>16</v>
      </c>
      <c r="H301" s="3" t="s">
        <v>420</v>
      </c>
      <c r="I301" s="4" t="s">
        <v>18</v>
      </c>
      <c r="J301" s="4">
        <v>3</v>
      </c>
      <c r="K301" s="4"/>
      <c r="L301" s="12">
        <v>1288932.1000000001</v>
      </c>
      <c r="M301" s="13">
        <v>1090930</v>
      </c>
      <c r="N301" s="9">
        <v>1090930</v>
      </c>
      <c r="O301" s="42">
        <f>'[6]6109ADM'!$K$31</f>
        <v>1403824.4039555995</v>
      </c>
      <c r="P301" s="39">
        <v>293172.93</v>
      </c>
      <c r="Q301" s="57">
        <f>'[7]6115REV'!$K$31</f>
        <v>0</v>
      </c>
    </row>
    <row r="302" spans="1:17" x14ac:dyDescent="0.25">
      <c r="A302" s="3" t="s">
        <v>422</v>
      </c>
      <c r="B302" s="3" t="s">
        <v>11</v>
      </c>
      <c r="C302" s="3" t="s">
        <v>12</v>
      </c>
      <c r="D302" s="3" t="s">
        <v>36</v>
      </c>
      <c r="E302" s="3" t="s">
        <v>14</v>
      </c>
      <c r="F302" s="3" t="s">
        <v>15</v>
      </c>
      <c r="G302" s="3" t="s">
        <v>16</v>
      </c>
      <c r="H302" s="3" t="s">
        <v>420</v>
      </c>
      <c r="I302" s="4" t="s">
        <v>18</v>
      </c>
      <c r="J302" s="4">
        <v>3</v>
      </c>
      <c r="K302" s="4"/>
      <c r="L302" s="12">
        <v>339614</v>
      </c>
      <c r="M302" s="13">
        <v>372178</v>
      </c>
      <c r="N302" s="9">
        <v>372178</v>
      </c>
      <c r="O302" s="42">
        <f>'[6]6109ADM'!$L$31</f>
        <v>389688.00000000006</v>
      </c>
      <c r="P302" s="39">
        <v>108403.8</v>
      </c>
      <c r="Q302" s="38">
        <f>'[7]6115REV'!$L$31</f>
        <v>0</v>
      </c>
    </row>
    <row r="303" spans="1:17" x14ac:dyDescent="0.25">
      <c r="A303" s="3" t="s">
        <v>431</v>
      </c>
      <c r="B303" s="3" t="s">
        <v>11</v>
      </c>
      <c r="C303" s="3" t="s">
        <v>12</v>
      </c>
      <c r="D303" s="3" t="s">
        <v>47</v>
      </c>
      <c r="E303" s="3" t="s">
        <v>14</v>
      </c>
      <c r="F303" s="3" t="s">
        <v>15</v>
      </c>
      <c r="G303" s="3" t="s">
        <v>16</v>
      </c>
      <c r="H303" s="3" t="s">
        <v>420</v>
      </c>
      <c r="I303" s="4" t="s">
        <v>18</v>
      </c>
      <c r="J303" s="4">
        <v>3</v>
      </c>
      <c r="K303" s="4"/>
      <c r="L303" s="12">
        <v>693702</v>
      </c>
      <c r="M303" s="13">
        <v>639870</v>
      </c>
      <c r="N303" s="9">
        <v>639870</v>
      </c>
      <c r="O303" s="39">
        <f>'[6]6109ADM'!$M$31</f>
        <v>741949.43999999994</v>
      </c>
      <c r="P303" s="39">
        <v>185139.66</v>
      </c>
      <c r="Q303" s="38">
        <f>'[7]6115REV'!$M$31</f>
        <v>0</v>
      </c>
    </row>
    <row r="304" spans="1:17" x14ac:dyDescent="0.25">
      <c r="A304" s="3" t="s">
        <v>456</v>
      </c>
      <c r="B304" s="3" t="s">
        <v>11</v>
      </c>
      <c r="C304" s="3" t="s">
        <v>12</v>
      </c>
      <c r="D304" s="3" t="s">
        <v>45</v>
      </c>
      <c r="E304" s="3" t="s">
        <v>455</v>
      </c>
      <c r="F304" s="3" t="s">
        <v>37</v>
      </c>
      <c r="G304" s="3" t="s">
        <v>16</v>
      </c>
      <c r="H304" s="3" t="s">
        <v>420</v>
      </c>
      <c r="I304" s="4" t="s">
        <v>38</v>
      </c>
      <c r="J304" s="4">
        <v>3</v>
      </c>
      <c r="K304" s="4"/>
      <c r="L304" s="12">
        <v>38064</v>
      </c>
      <c r="M304" s="13">
        <v>46044</v>
      </c>
      <c r="N304" s="9">
        <v>46044</v>
      </c>
      <c r="O304" s="42">
        <f>'[6]6109ADM'!$N$31</f>
        <v>66192</v>
      </c>
      <c r="P304" s="39">
        <v>17623.62</v>
      </c>
      <c r="Q304" s="57">
        <f>'[7]6115REV'!$N$31</f>
        <v>0</v>
      </c>
    </row>
    <row r="305" spans="1:17" x14ac:dyDescent="0.25">
      <c r="A305" s="3" t="s">
        <v>426</v>
      </c>
      <c r="B305" s="3" t="s">
        <v>11</v>
      </c>
      <c r="C305" s="3" t="s">
        <v>12</v>
      </c>
      <c r="D305" s="3" t="s">
        <v>282</v>
      </c>
      <c r="E305" s="3" t="s">
        <v>14</v>
      </c>
      <c r="F305" s="3" t="s">
        <v>15</v>
      </c>
      <c r="G305" s="3" t="s">
        <v>16</v>
      </c>
      <c r="H305" s="3" t="s">
        <v>420</v>
      </c>
      <c r="I305" s="4" t="s">
        <v>18</v>
      </c>
      <c r="J305" s="4">
        <v>3</v>
      </c>
      <c r="K305" s="4"/>
      <c r="L305" s="12">
        <v>5000</v>
      </c>
      <c r="M305" s="13">
        <v>5000</v>
      </c>
      <c r="N305" s="9">
        <v>5000</v>
      </c>
      <c r="O305" s="39">
        <f>'[6]6109ADM'!$O$31</f>
        <v>5000</v>
      </c>
      <c r="P305" s="39">
        <v>10000</v>
      </c>
      <c r="Q305" s="38">
        <f>'[7]6115REV'!$O$31</f>
        <v>0</v>
      </c>
    </row>
    <row r="306" spans="1:17" x14ac:dyDescent="0.25">
      <c r="A306" s="3" t="s">
        <v>430</v>
      </c>
      <c r="B306" s="3" t="s">
        <v>11</v>
      </c>
      <c r="C306" s="3" t="s">
        <v>12</v>
      </c>
      <c r="D306" s="3" t="s">
        <v>156</v>
      </c>
      <c r="E306" s="3" t="s">
        <v>14</v>
      </c>
      <c r="F306" s="3" t="s">
        <v>15</v>
      </c>
      <c r="G306" s="3" t="s">
        <v>16</v>
      </c>
      <c r="H306" s="3" t="s">
        <v>420</v>
      </c>
      <c r="I306" s="4" t="s">
        <v>18</v>
      </c>
      <c r="J306" s="4">
        <v>3</v>
      </c>
      <c r="K306" s="4"/>
      <c r="L306" s="12">
        <v>28678</v>
      </c>
      <c r="M306" s="13">
        <v>14267</v>
      </c>
      <c r="N306" s="9">
        <v>14267</v>
      </c>
      <c r="O306" s="42">
        <f>'[6]6109ADM'!$P$31</f>
        <v>10893.24</v>
      </c>
      <c r="P306" s="39">
        <v>2723.31</v>
      </c>
      <c r="Q306" s="38">
        <f>'[7]6115REV'!$P$31</f>
        <v>0</v>
      </c>
    </row>
    <row r="307" spans="1:17" x14ac:dyDescent="0.25">
      <c r="A307" s="3" t="s">
        <v>421</v>
      </c>
      <c r="B307" s="3" t="s">
        <v>11</v>
      </c>
      <c r="C307" s="3" t="s">
        <v>12</v>
      </c>
      <c r="D307" s="3" t="s">
        <v>151</v>
      </c>
      <c r="E307" s="3" t="s">
        <v>14</v>
      </c>
      <c r="F307" s="3" t="s">
        <v>15</v>
      </c>
      <c r="G307" s="3" t="s">
        <v>16</v>
      </c>
      <c r="H307" s="3" t="s">
        <v>420</v>
      </c>
      <c r="I307" s="4" t="s">
        <v>18</v>
      </c>
      <c r="J307" s="4">
        <v>3</v>
      </c>
      <c r="K307" s="4"/>
      <c r="L307" s="12">
        <v>2772</v>
      </c>
      <c r="M307" s="13">
        <v>2413</v>
      </c>
      <c r="N307" s="9">
        <v>2413</v>
      </c>
      <c r="O307" s="42">
        <f>'[6]6109ADM'!$R$31</f>
        <v>2835</v>
      </c>
      <c r="P307" s="39">
        <v>671.04</v>
      </c>
      <c r="Q307" s="57">
        <f>'[7]6115REV'!$R$31</f>
        <v>0</v>
      </c>
    </row>
    <row r="308" spans="1:17" x14ac:dyDescent="0.25">
      <c r="A308" s="3" t="s">
        <v>419</v>
      </c>
      <c r="B308" s="3" t="s">
        <v>11</v>
      </c>
      <c r="C308" s="3" t="s">
        <v>12</v>
      </c>
      <c r="D308" s="3" t="s">
        <v>30</v>
      </c>
      <c r="E308" s="3" t="s">
        <v>14</v>
      </c>
      <c r="F308" s="3" t="s">
        <v>15</v>
      </c>
      <c r="G308" s="3" t="s">
        <v>16</v>
      </c>
      <c r="H308" s="3" t="s">
        <v>420</v>
      </c>
      <c r="I308" s="4" t="s">
        <v>18</v>
      </c>
      <c r="J308" s="4">
        <v>3</v>
      </c>
      <c r="K308" s="4"/>
      <c r="L308" s="12">
        <v>58587.82</v>
      </c>
      <c r="M308" s="13">
        <v>56415</v>
      </c>
      <c r="N308" s="9">
        <v>56415</v>
      </c>
      <c r="O308" s="42">
        <f>'[6]6109ADM'!$Q$31</f>
        <v>63810.200179799998</v>
      </c>
      <c r="P308" s="39">
        <v>17531.099999999999</v>
      </c>
      <c r="Q308" s="57">
        <f>'[7]6115REV'!$Q$31</f>
        <v>0</v>
      </c>
    </row>
    <row r="309" spans="1:17" x14ac:dyDescent="0.25">
      <c r="A309" s="3" t="s">
        <v>429</v>
      </c>
      <c r="B309" s="3" t="s">
        <v>11</v>
      </c>
      <c r="C309" s="3" t="s">
        <v>12</v>
      </c>
      <c r="D309" s="3" t="s">
        <v>193</v>
      </c>
      <c r="E309" s="3" t="s">
        <v>14</v>
      </c>
      <c r="F309" s="3" t="s">
        <v>15</v>
      </c>
      <c r="G309" s="3" t="s">
        <v>16</v>
      </c>
      <c r="H309" s="3" t="s">
        <v>420</v>
      </c>
      <c r="I309" s="4" t="s">
        <v>18</v>
      </c>
      <c r="J309" s="4">
        <v>3</v>
      </c>
      <c r="K309" s="4"/>
      <c r="L309" s="12">
        <v>41876</v>
      </c>
      <c r="M309" s="13">
        <v>63791</v>
      </c>
      <c r="N309" s="9">
        <v>63791</v>
      </c>
      <c r="O309" s="42">
        <f>'[6]6109ADM'!$S$31</f>
        <v>0</v>
      </c>
      <c r="P309" s="39">
        <v>11929.83</v>
      </c>
      <c r="Q309" s="38">
        <v>0</v>
      </c>
    </row>
    <row r="310" spans="1:17" x14ac:dyDescent="0.25">
      <c r="A310" s="3" t="s">
        <v>424</v>
      </c>
      <c r="B310" s="3" t="s">
        <v>11</v>
      </c>
      <c r="C310" s="3" t="s">
        <v>12</v>
      </c>
      <c r="D310" s="3" t="s">
        <v>43</v>
      </c>
      <c r="E310" s="3" t="s">
        <v>14</v>
      </c>
      <c r="F310" s="3" t="s">
        <v>15</v>
      </c>
      <c r="G310" s="3" t="s">
        <v>16</v>
      </c>
      <c r="H310" s="3" t="s">
        <v>420</v>
      </c>
      <c r="I310" s="4" t="s">
        <v>18</v>
      </c>
      <c r="J310" s="4">
        <v>3</v>
      </c>
      <c r="K310" s="4"/>
      <c r="L310" s="12">
        <v>39292.230000000003</v>
      </c>
      <c r="M310" s="13">
        <v>41961</v>
      </c>
      <c r="N310" s="9">
        <v>41961</v>
      </c>
      <c r="O310" s="42">
        <f>'[6]6109ADM'!$T$31</f>
        <v>39414.650604900009</v>
      </c>
      <c r="P310" s="39">
        <v>10585.52</v>
      </c>
      <c r="Q310" s="57">
        <f>'[7]6115REV'!$T$31</f>
        <v>0</v>
      </c>
    </row>
    <row r="311" spans="1:17" x14ac:dyDescent="0.25">
      <c r="A311" s="3" t="s">
        <v>418</v>
      </c>
      <c r="B311" s="3" t="s">
        <v>11</v>
      </c>
      <c r="C311" s="3" t="s">
        <v>12</v>
      </c>
      <c r="D311" s="3" t="s">
        <v>157</v>
      </c>
      <c r="E311" s="3" t="s">
        <v>393</v>
      </c>
      <c r="F311" s="3" t="s">
        <v>15</v>
      </c>
      <c r="G311" s="3" t="s">
        <v>16</v>
      </c>
      <c r="H311" s="3" t="s">
        <v>250</v>
      </c>
      <c r="I311" s="4" t="s">
        <v>18</v>
      </c>
      <c r="J311" s="4">
        <v>3</v>
      </c>
      <c r="K311" s="4"/>
      <c r="L311" s="12">
        <v>505222</v>
      </c>
      <c r="M311" s="13">
        <v>503104</v>
      </c>
      <c r="N311" s="9">
        <v>503104</v>
      </c>
      <c r="O311" s="43">
        <f>'[6]6108LEGAL'!$E$5</f>
        <v>541604.64240000001</v>
      </c>
      <c r="P311" s="39">
        <v>135401.16</v>
      </c>
      <c r="Q311" s="38">
        <f>'[7]6115REV'!$E$5</f>
        <v>141011.21849999999</v>
      </c>
    </row>
    <row r="312" spans="1:17" x14ac:dyDescent="0.25">
      <c r="A312" s="3" t="s">
        <v>396</v>
      </c>
      <c r="B312" s="3" t="s">
        <v>11</v>
      </c>
      <c r="C312" s="3" t="s">
        <v>12</v>
      </c>
      <c r="D312" s="3" t="s">
        <v>86</v>
      </c>
      <c r="E312" s="3" t="s">
        <v>393</v>
      </c>
      <c r="F312" s="3" t="s">
        <v>37</v>
      </c>
      <c r="G312" s="3" t="s">
        <v>16</v>
      </c>
      <c r="H312" s="3" t="s">
        <v>250</v>
      </c>
      <c r="I312" s="4" t="s">
        <v>38</v>
      </c>
      <c r="J312" s="4">
        <v>1</v>
      </c>
      <c r="K312" s="4"/>
      <c r="L312" s="12">
        <v>0</v>
      </c>
      <c r="M312" s="13">
        <v>0</v>
      </c>
      <c r="N312" s="9">
        <v>0</v>
      </c>
      <c r="O312" s="43">
        <v>0</v>
      </c>
      <c r="P312" s="39"/>
      <c r="Q312" s="38">
        <v>0</v>
      </c>
    </row>
    <row r="313" spans="1:17" x14ac:dyDescent="0.25">
      <c r="A313" s="3" t="s">
        <v>397</v>
      </c>
      <c r="B313" s="3" t="s">
        <v>11</v>
      </c>
      <c r="C313" s="3" t="s">
        <v>12</v>
      </c>
      <c r="D313" s="3" t="s">
        <v>153</v>
      </c>
      <c r="E313" s="3" t="s">
        <v>393</v>
      </c>
      <c r="F313" s="3" t="s">
        <v>15</v>
      </c>
      <c r="G313" s="3" t="s">
        <v>16</v>
      </c>
      <c r="H313" s="3" t="s">
        <v>250</v>
      </c>
      <c r="I313" s="4" t="s">
        <v>18</v>
      </c>
      <c r="J313" s="4">
        <v>3</v>
      </c>
      <c r="K313" s="4"/>
      <c r="L313" s="12">
        <v>42102</v>
      </c>
      <c r="M313" s="13">
        <v>42379</v>
      </c>
      <c r="N313" s="9">
        <v>42379</v>
      </c>
      <c r="O313" s="43">
        <f>'[6]6108LEGAL'!$I$5</f>
        <v>45133.720200000003</v>
      </c>
      <c r="P313" s="39">
        <v>0</v>
      </c>
      <c r="Q313" s="38">
        <f>'[7]6115REV'!$I$5</f>
        <v>28202.243699999999</v>
      </c>
    </row>
    <row r="314" spans="1:17" x14ac:dyDescent="0.25">
      <c r="A314" s="3" t="s">
        <v>398</v>
      </c>
      <c r="B314" s="3" t="s">
        <v>11</v>
      </c>
      <c r="C314" s="3" t="s">
        <v>12</v>
      </c>
      <c r="D314" s="3" t="s">
        <v>155</v>
      </c>
      <c r="E314" s="3" t="s">
        <v>393</v>
      </c>
      <c r="F314" s="3" t="s">
        <v>37</v>
      </c>
      <c r="G314" s="3" t="s">
        <v>16</v>
      </c>
      <c r="H314" s="3" t="s">
        <v>250</v>
      </c>
      <c r="I314" s="4" t="s">
        <v>38</v>
      </c>
      <c r="J314" s="4">
        <v>1</v>
      </c>
      <c r="K314" s="4"/>
      <c r="L314" s="12">
        <v>0</v>
      </c>
      <c r="M314" s="13">
        <v>0</v>
      </c>
      <c r="N314" s="9">
        <v>0</v>
      </c>
      <c r="O314" s="43">
        <f>'[8]6108LEGAL'!$J$5</f>
        <v>0</v>
      </c>
      <c r="P314" s="39"/>
      <c r="Q314" s="38">
        <v>0</v>
      </c>
    </row>
    <row r="315" spans="1:17" x14ac:dyDescent="0.25">
      <c r="A315" s="3" t="s">
        <v>417</v>
      </c>
      <c r="B315" s="3" t="s">
        <v>11</v>
      </c>
      <c r="C315" s="3" t="s">
        <v>12</v>
      </c>
      <c r="D315" s="3" t="s">
        <v>41</v>
      </c>
      <c r="E315" s="3" t="s">
        <v>393</v>
      </c>
      <c r="F315" s="3" t="s">
        <v>15</v>
      </c>
      <c r="G315" s="3" t="s">
        <v>16</v>
      </c>
      <c r="H315" s="3" t="s">
        <v>250</v>
      </c>
      <c r="I315" s="4" t="s">
        <v>18</v>
      </c>
      <c r="J315" s="4">
        <v>3</v>
      </c>
      <c r="K315" s="4"/>
      <c r="L315" s="12">
        <v>111149</v>
      </c>
      <c r="M315" s="13">
        <v>100712</v>
      </c>
      <c r="N315" s="9">
        <v>100712</v>
      </c>
      <c r="O315" s="43">
        <f>'[6]6108LEGAL'!$K$5</f>
        <v>119153.021328</v>
      </c>
      <c r="P315" s="39">
        <v>24372.21</v>
      </c>
      <c r="Q315" s="38">
        <f>'[7]6115REV'!$K$5</f>
        <v>31022.468069999999</v>
      </c>
    </row>
    <row r="316" spans="1:17" x14ac:dyDescent="0.25">
      <c r="A316" s="3" t="s">
        <v>416</v>
      </c>
      <c r="B316" s="3" t="s">
        <v>11</v>
      </c>
      <c r="C316" s="3" t="s">
        <v>12</v>
      </c>
      <c r="D316" s="3" t="s">
        <v>36</v>
      </c>
      <c r="E316" s="3" t="s">
        <v>393</v>
      </c>
      <c r="F316" s="3" t="s">
        <v>15</v>
      </c>
      <c r="G316" s="3" t="s">
        <v>16</v>
      </c>
      <c r="H316" s="3" t="s">
        <v>250</v>
      </c>
      <c r="I316" s="4" t="s">
        <v>18</v>
      </c>
      <c r="J316" s="4">
        <v>3</v>
      </c>
      <c r="K316" s="4"/>
      <c r="L316" s="12">
        <v>41832</v>
      </c>
      <c r="M316" s="13">
        <v>43602</v>
      </c>
      <c r="N316" s="9">
        <v>43602</v>
      </c>
      <c r="O316" s="43">
        <f>'[8]6108LEGAL'!$L$5</f>
        <v>45372</v>
      </c>
      <c r="P316" s="39">
        <v>12753</v>
      </c>
      <c r="Q316" s="38">
        <f>'[7]6115REV'!$L$5</f>
        <v>13035</v>
      </c>
    </row>
    <row r="317" spans="1:17" x14ac:dyDescent="0.25">
      <c r="A317" s="3" t="s">
        <v>400</v>
      </c>
      <c r="B317" s="3" t="s">
        <v>11</v>
      </c>
      <c r="C317" s="3" t="s">
        <v>12</v>
      </c>
      <c r="D317" s="3" t="s">
        <v>47</v>
      </c>
      <c r="E317" s="3" t="s">
        <v>393</v>
      </c>
      <c r="F317" s="3" t="s">
        <v>15</v>
      </c>
      <c r="G317" s="3" t="s">
        <v>16</v>
      </c>
      <c r="H317" s="3" t="s">
        <v>250</v>
      </c>
      <c r="I317" s="4" t="s">
        <v>18</v>
      </c>
      <c r="J317" s="4">
        <v>3</v>
      </c>
      <c r="K317" s="4"/>
      <c r="L317" s="12">
        <v>191634</v>
      </c>
      <c r="M317" s="13">
        <v>188452</v>
      </c>
      <c r="N317" s="9">
        <v>188452</v>
      </c>
      <c r="O317" s="43">
        <f>'[8]6108LEGAL'!$M$5</f>
        <v>200977.68</v>
      </c>
      <c r="P317" s="39">
        <v>50150.25</v>
      </c>
      <c r="Q317" s="38">
        <f>'[7]6115REV'!$M$5</f>
        <v>0</v>
      </c>
    </row>
    <row r="318" spans="1:17" x14ac:dyDescent="0.25">
      <c r="A318" s="3" t="s">
        <v>415</v>
      </c>
      <c r="B318" s="3" t="s">
        <v>11</v>
      </c>
      <c r="C318" s="3" t="s">
        <v>12</v>
      </c>
      <c r="D318" s="3" t="s">
        <v>45</v>
      </c>
      <c r="E318" s="3" t="s">
        <v>393</v>
      </c>
      <c r="F318" s="3" t="s">
        <v>37</v>
      </c>
      <c r="G318" s="3" t="s">
        <v>16</v>
      </c>
      <c r="H318" s="3" t="s">
        <v>250</v>
      </c>
      <c r="I318" s="4" t="s">
        <v>38</v>
      </c>
      <c r="J318" s="4">
        <v>3</v>
      </c>
      <c r="K318" s="4"/>
      <c r="L318" s="12">
        <v>8000</v>
      </c>
      <c r="M318" s="13">
        <v>8900</v>
      </c>
      <c r="N318" s="9">
        <v>8900</v>
      </c>
      <c r="O318" s="43">
        <f>'[8]6108LEGAL'!$N$5</f>
        <v>12000</v>
      </c>
      <c r="P318" s="39">
        <v>3195</v>
      </c>
      <c r="Q318" s="38">
        <f>'[7]6115REV'!$N$5</f>
        <v>0</v>
      </c>
    </row>
    <row r="319" spans="1:17" x14ac:dyDescent="0.25">
      <c r="A319" s="3" t="s">
        <v>399</v>
      </c>
      <c r="B319" s="3" t="s">
        <v>11</v>
      </c>
      <c r="C319" s="3" t="s">
        <v>12</v>
      </c>
      <c r="D319" s="3" t="s">
        <v>156</v>
      </c>
      <c r="E319" s="3" t="s">
        <v>393</v>
      </c>
      <c r="F319" s="3" t="s">
        <v>37</v>
      </c>
      <c r="G319" s="3" t="s">
        <v>16</v>
      </c>
      <c r="H319" s="3" t="s">
        <v>250</v>
      </c>
      <c r="I319" s="4" t="s">
        <v>38</v>
      </c>
      <c r="J319" s="4">
        <v>1</v>
      </c>
      <c r="K319" s="4"/>
      <c r="L319" s="12">
        <v>0</v>
      </c>
      <c r="M319" s="13">
        <v>0</v>
      </c>
      <c r="N319" s="9">
        <v>0</v>
      </c>
      <c r="O319" s="43">
        <f>'[8]6108LEGAL'!$P$5</f>
        <v>0</v>
      </c>
      <c r="P319" s="39"/>
      <c r="Q319" s="38">
        <v>0</v>
      </c>
    </row>
    <row r="320" spans="1:17" x14ac:dyDescent="0.25">
      <c r="A320" s="3" t="s">
        <v>394</v>
      </c>
      <c r="B320" s="3" t="s">
        <v>11</v>
      </c>
      <c r="C320" s="3" t="s">
        <v>12</v>
      </c>
      <c r="D320" s="3" t="s">
        <v>151</v>
      </c>
      <c r="E320" s="3" t="s">
        <v>393</v>
      </c>
      <c r="F320" s="3" t="s">
        <v>15</v>
      </c>
      <c r="G320" s="3" t="s">
        <v>16</v>
      </c>
      <c r="H320" s="3" t="s">
        <v>250</v>
      </c>
      <c r="I320" s="4" t="s">
        <v>18</v>
      </c>
      <c r="J320" s="4">
        <v>3</v>
      </c>
      <c r="K320" s="4"/>
      <c r="L320" s="12">
        <v>99</v>
      </c>
      <c r="M320" s="13">
        <v>105</v>
      </c>
      <c r="N320" s="9">
        <v>105</v>
      </c>
      <c r="O320" s="43">
        <f>'[8]6108LEGAL'!$R$5</f>
        <v>105</v>
      </c>
      <c r="P320" s="39">
        <v>27.96</v>
      </c>
      <c r="Q320" s="38">
        <f>'[7]6115REV'!$R$5</f>
        <v>43.75</v>
      </c>
    </row>
    <row r="321" spans="1:17" x14ac:dyDescent="0.25">
      <c r="A321" s="3" t="s">
        <v>392</v>
      </c>
      <c r="B321" s="3" t="s">
        <v>11</v>
      </c>
      <c r="C321" s="3" t="s">
        <v>12</v>
      </c>
      <c r="D321" s="3" t="s">
        <v>30</v>
      </c>
      <c r="E321" s="3" t="s">
        <v>393</v>
      </c>
      <c r="F321" s="3" t="s">
        <v>15</v>
      </c>
      <c r="G321" s="3" t="s">
        <v>16</v>
      </c>
      <c r="H321" s="3" t="s">
        <v>250</v>
      </c>
      <c r="I321" s="4" t="s">
        <v>18</v>
      </c>
      <c r="J321" s="4">
        <v>3</v>
      </c>
      <c r="K321" s="4"/>
      <c r="L321" s="12">
        <v>5052</v>
      </c>
      <c r="M321" s="13">
        <v>5824</v>
      </c>
      <c r="N321" s="9">
        <v>5824</v>
      </c>
      <c r="O321" s="43">
        <f>'[6]6108LEGAL'!$Q$5</f>
        <v>5416.0464240000001</v>
      </c>
      <c r="P321" s="39">
        <v>1813.41</v>
      </c>
      <c r="Q321" s="38">
        <f>'[7]6115REV'!$Q$5</f>
        <v>1410.112185</v>
      </c>
    </row>
    <row r="322" spans="1:17" x14ac:dyDescent="0.25">
      <c r="A322" s="3" t="s">
        <v>395</v>
      </c>
      <c r="B322" s="3" t="s">
        <v>11</v>
      </c>
      <c r="C322" s="3" t="s">
        <v>12</v>
      </c>
      <c r="D322" s="3" t="s">
        <v>43</v>
      </c>
      <c r="E322" s="3" t="s">
        <v>393</v>
      </c>
      <c r="F322" s="3" t="s">
        <v>15</v>
      </c>
      <c r="G322" s="3" t="s">
        <v>16</v>
      </c>
      <c r="H322" s="3" t="s">
        <v>250</v>
      </c>
      <c r="I322" s="4" t="s">
        <v>18</v>
      </c>
      <c r="J322" s="4">
        <v>3</v>
      </c>
      <c r="K322" s="4"/>
      <c r="L322" s="12">
        <v>1497</v>
      </c>
      <c r="M322" s="13">
        <v>2390</v>
      </c>
      <c r="N322" s="9">
        <v>2390</v>
      </c>
      <c r="O322" s="43">
        <f>'[6]6108LEGAL'!$T$5</f>
        <v>1497.36</v>
      </c>
      <c r="P322" s="39">
        <v>446.16</v>
      </c>
      <c r="Q322" s="38">
        <f>'[7]6115REV'!$T$5</f>
        <v>1410.112185</v>
      </c>
    </row>
    <row r="323" spans="1:17" x14ac:dyDescent="0.25">
      <c r="A323" s="3" t="s">
        <v>383</v>
      </c>
      <c r="B323" s="3" t="s">
        <v>11</v>
      </c>
      <c r="C323" s="3" t="s">
        <v>12</v>
      </c>
      <c r="D323" s="3" t="s">
        <v>157</v>
      </c>
      <c r="E323" s="3" t="s">
        <v>363</v>
      </c>
      <c r="F323" s="3" t="s">
        <v>15</v>
      </c>
      <c r="G323" s="3" t="s">
        <v>16</v>
      </c>
      <c r="H323" s="3" t="s">
        <v>364</v>
      </c>
      <c r="I323" s="4" t="s">
        <v>18</v>
      </c>
      <c r="J323" s="4">
        <v>3</v>
      </c>
      <c r="K323" s="4"/>
      <c r="L323" s="12">
        <v>6957650.21</v>
      </c>
      <c r="M323" s="13">
        <v>5855754</v>
      </c>
      <c r="N323" s="9">
        <v>5855754</v>
      </c>
      <c r="O323" s="43">
        <f>'[6]6107PROP'!$E$37</f>
        <v>7899024.8068504203</v>
      </c>
      <c r="P323" s="39">
        <v>1103764.25</v>
      </c>
      <c r="Q323" s="57">
        <f>'[7]6115REV'!$E$37</f>
        <v>0</v>
      </c>
    </row>
    <row r="324" spans="1:17" x14ac:dyDescent="0.25">
      <c r="A324" s="3" t="s">
        <v>365</v>
      </c>
      <c r="B324" s="3" t="s">
        <v>11</v>
      </c>
      <c r="C324" s="3" t="s">
        <v>12</v>
      </c>
      <c r="D324" s="3" t="s">
        <v>86</v>
      </c>
      <c r="E324" s="3" t="s">
        <v>363</v>
      </c>
      <c r="F324" s="3" t="s">
        <v>37</v>
      </c>
      <c r="G324" s="3" t="s">
        <v>16</v>
      </c>
      <c r="H324" s="3" t="s">
        <v>364</v>
      </c>
      <c r="I324" s="4" t="s">
        <v>38</v>
      </c>
      <c r="J324" s="4">
        <v>1</v>
      </c>
      <c r="K324" s="4"/>
      <c r="L324" s="12">
        <v>0</v>
      </c>
      <c r="M324" s="13">
        <v>50000</v>
      </c>
      <c r="N324" s="9">
        <v>50000</v>
      </c>
      <c r="O324" s="43">
        <f>'[8]6107PROP'!$G$38</f>
        <v>0</v>
      </c>
      <c r="P324" s="39">
        <v>0</v>
      </c>
      <c r="Q324" s="38"/>
    </row>
    <row r="325" spans="1:17" x14ac:dyDescent="0.25">
      <c r="A325" s="3" t="s">
        <v>1813</v>
      </c>
      <c r="B325" s="3"/>
      <c r="C325" s="3"/>
      <c r="D325" s="3" t="s">
        <v>86</v>
      </c>
      <c r="E325" s="3"/>
      <c r="F325" s="3"/>
      <c r="G325" s="3"/>
      <c r="H325" s="3"/>
      <c r="I325" s="4"/>
      <c r="J325" s="4"/>
      <c r="K325" s="4"/>
      <c r="L325" s="12"/>
      <c r="M325" s="13"/>
      <c r="N325" s="9"/>
      <c r="O325" s="43"/>
      <c r="P325" s="39"/>
      <c r="Q325" s="57">
        <f>'[7]6115REV'!$G$37</f>
        <v>0</v>
      </c>
    </row>
    <row r="326" spans="1:17" x14ac:dyDescent="0.25">
      <c r="A326" s="3" t="s">
        <v>377</v>
      </c>
      <c r="B326" s="3" t="s">
        <v>11</v>
      </c>
      <c r="C326" s="3" t="s">
        <v>12</v>
      </c>
      <c r="D326" s="3" t="s">
        <v>1630</v>
      </c>
      <c r="E326" s="3" t="s">
        <v>363</v>
      </c>
      <c r="F326" s="3" t="s">
        <v>15</v>
      </c>
      <c r="G326" s="3" t="s">
        <v>16</v>
      </c>
      <c r="H326" s="3" t="s">
        <v>364</v>
      </c>
      <c r="I326" s="4" t="s">
        <v>18</v>
      </c>
      <c r="J326" s="4">
        <v>3</v>
      </c>
      <c r="K326" s="4"/>
      <c r="L326" s="12">
        <v>420000</v>
      </c>
      <c r="M326" s="13">
        <v>450000</v>
      </c>
      <c r="N326" s="9">
        <v>450000</v>
      </c>
      <c r="O326" s="43">
        <v>400000</v>
      </c>
      <c r="P326" s="39">
        <v>112831.21</v>
      </c>
      <c r="Q326" s="38">
        <v>400000</v>
      </c>
    </row>
    <row r="327" spans="1:17" x14ac:dyDescent="0.25">
      <c r="A327" s="3" t="s">
        <v>379</v>
      </c>
      <c r="B327" s="3" t="s">
        <v>11</v>
      </c>
      <c r="C327" s="3" t="s">
        <v>12</v>
      </c>
      <c r="D327" s="3" t="s">
        <v>153</v>
      </c>
      <c r="E327" s="3" t="s">
        <v>363</v>
      </c>
      <c r="F327" s="3" t="s">
        <v>15</v>
      </c>
      <c r="G327" s="3" t="s">
        <v>16</v>
      </c>
      <c r="H327" s="3" t="s">
        <v>364</v>
      </c>
      <c r="I327" s="4" t="s">
        <v>18</v>
      </c>
      <c r="J327" s="4">
        <v>3</v>
      </c>
      <c r="K327" s="4"/>
      <c r="L327" s="12">
        <v>579804.18000000005</v>
      </c>
      <c r="M327" s="13">
        <v>540719</v>
      </c>
      <c r="N327" s="9">
        <v>540719</v>
      </c>
      <c r="O327" s="43">
        <f>'[6]6107PROP'!$I$37</f>
        <v>658252.06723753491</v>
      </c>
      <c r="P327" s="39">
        <v>34449.15</v>
      </c>
      <c r="Q327" s="38">
        <f>'[7]6115REV'!$I$37</f>
        <v>0</v>
      </c>
    </row>
    <row r="328" spans="1:17" x14ac:dyDescent="0.25">
      <c r="A328" s="3" t="s">
        <v>380</v>
      </c>
      <c r="B328" s="3" t="s">
        <v>11</v>
      </c>
      <c r="C328" s="3" t="s">
        <v>12</v>
      </c>
      <c r="D328" s="3" t="s">
        <v>155</v>
      </c>
      <c r="E328" s="3" t="s">
        <v>363</v>
      </c>
      <c r="F328" s="3" t="s">
        <v>15</v>
      </c>
      <c r="G328" s="3" t="s">
        <v>16</v>
      </c>
      <c r="H328" s="3" t="s">
        <v>364</v>
      </c>
      <c r="I328" s="4" t="s">
        <v>18</v>
      </c>
      <c r="J328" s="4">
        <v>3</v>
      </c>
      <c r="K328" s="4"/>
      <c r="L328" s="12">
        <v>388662</v>
      </c>
      <c r="M328" s="13">
        <v>372395</v>
      </c>
      <c r="N328" s="9">
        <v>372395</v>
      </c>
      <c r="O328" s="43">
        <f>'[6]6107PROP'!$J$37</f>
        <v>11712.34</v>
      </c>
      <c r="P328" s="39">
        <v>0</v>
      </c>
      <c r="Q328" s="38">
        <f>'[7]6115REV'!$J$37</f>
        <v>0</v>
      </c>
    </row>
    <row r="329" spans="1:17" x14ac:dyDescent="0.25">
      <c r="A329" s="3" t="s">
        <v>375</v>
      </c>
      <c r="B329" s="3" t="s">
        <v>11</v>
      </c>
      <c r="C329" s="3" t="s">
        <v>12</v>
      </c>
      <c r="D329" s="3" t="s">
        <v>41</v>
      </c>
      <c r="E329" s="3" t="s">
        <v>363</v>
      </c>
      <c r="F329" s="3" t="s">
        <v>15</v>
      </c>
      <c r="G329" s="3" t="s">
        <v>16</v>
      </c>
      <c r="H329" s="3" t="s">
        <v>364</v>
      </c>
      <c r="I329" s="4" t="s">
        <v>18</v>
      </c>
      <c r="J329" s="4">
        <v>3</v>
      </c>
      <c r="K329" s="4"/>
      <c r="L329" s="12">
        <v>1530683.05</v>
      </c>
      <c r="M329" s="13">
        <v>1263133</v>
      </c>
      <c r="N329" s="9">
        <v>1263133</v>
      </c>
      <c r="O329" s="43">
        <f>'[6]6107PROP'!$K$37</f>
        <v>1737785.4575070918</v>
      </c>
      <c r="P329" s="39">
        <v>224372.27</v>
      </c>
      <c r="Q329" s="57">
        <f>'[7]6115REV'!$K$37</f>
        <v>0</v>
      </c>
    </row>
    <row r="330" spans="1:17" x14ac:dyDescent="0.25">
      <c r="A330" s="3" t="s">
        <v>374</v>
      </c>
      <c r="B330" s="3" t="s">
        <v>11</v>
      </c>
      <c r="C330" s="3" t="s">
        <v>12</v>
      </c>
      <c r="D330" s="3" t="s">
        <v>36</v>
      </c>
      <c r="E330" s="3" t="s">
        <v>363</v>
      </c>
      <c r="F330" s="3" t="s">
        <v>15</v>
      </c>
      <c r="G330" s="3" t="s">
        <v>16</v>
      </c>
      <c r="H330" s="3" t="s">
        <v>364</v>
      </c>
      <c r="I330" s="4" t="s">
        <v>18</v>
      </c>
      <c r="J330" s="4">
        <v>3</v>
      </c>
      <c r="K330" s="4"/>
      <c r="L330" s="12">
        <v>232658.4</v>
      </c>
      <c r="M330" s="13">
        <v>226174</v>
      </c>
      <c r="N330" s="9">
        <v>226174</v>
      </c>
      <c r="O330" s="43">
        <f>'[6]6107PROP'!$L$37</f>
        <v>215136</v>
      </c>
      <c r="P330" s="39">
        <v>42131.4</v>
      </c>
      <c r="Q330" s="57">
        <f>'[7]6115REV'!$L$37</f>
        <v>0</v>
      </c>
    </row>
    <row r="331" spans="1:17" x14ac:dyDescent="0.25">
      <c r="A331" s="3" t="s">
        <v>382</v>
      </c>
      <c r="B331" s="3" t="s">
        <v>11</v>
      </c>
      <c r="C331" s="3" t="s">
        <v>12</v>
      </c>
      <c r="D331" s="3" t="s">
        <v>47</v>
      </c>
      <c r="E331" s="3" t="s">
        <v>363</v>
      </c>
      <c r="F331" s="3" t="s">
        <v>15</v>
      </c>
      <c r="G331" s="3" t="s">
        <v>16</v>
      </c>
      <c r="H331" s="3" t="s">
        <v>364</v>
      </c>
      <c r="I331" s="4" t="s">
        <v>18</v>
      </c>
      <c r="J331" s="4">
        <v>3</v>
      </c>
      <c r="K331" s="4"/>
      <c r="L331" s="12">
        <v>502067.75</v>
      </c>
      <c r="M331" s="13">
        <v>306579</v>
      </c>
      <c r="N331" s="9">
        <v>306579</v>
      </c>
      <c r="O331" s="43">
        <f>'[6]6107PROP'!$M$37</f>
        <v>527021.03759999992</v>
      </c>
      <c r="P331" s="39">
        <v>0</v>
      </c>
      <c r="Q331" s="57">
        <f>'[7]6115REV'!$M$37</f>
        <v>0</v>
      </c>
    </row>
    <row r="332" spans="1:17" x14ac:dyDescent="0.25">
      <c r="A332" s="3" t="s">
        <v>370</v>
      </c>
      <c r="B332" s="3" t="s">
        <v>11</v>
      </c>
      <c r="C332" s="3" t="s">
        <v>12</v>
      </c>
      <c r="D332" s="3" t="s">
        <v>45</v>
      </c>
      <c r="E332" s="3" t="s">
        <v>363</v>
      </c>
      <c r="F332" s="3" t="s">
        <v>37</v>
      </c>
      <c r="G332" s="3" t="s">
        <v>16</v>
      </c>
      <c r="H332" s="3" t="s">
        <v>364</v>
      </c>
      <c r="I332" s="4" t="s">
        <v>38</v>
      </c>
      <c r="J332" s="4">
        <v>3</v>
      </c>
      <c r="K332" s="4"/>
      <c r="L332" s="12">
        <v>12800</v>
      </c>
      <c r="M332" s="13">
        <v>13700</v>
      </c>
      <c r="N332" s="9">
        <v>13700</v>
      </c>
      <c r="O332" s="43">
        <f>'[6]6107PROP'!$N$37</f>
        <v>21600</v>
      </c>
      <c r="P332" s="39">
        <v>0</v>
      </c>
      <c r="Q332" s="57">
        <f>'[7]6115REV'!$N$37</f>
        <v>0</v>
      </c>
    </row>
    <row r="333" spans="1:17" x14ac:dyDescent="0.25">
      <c r="A333" s="3" t="s">
        <v>381</v>
      </c>
      <c r="B333" s="3" t="s">
        <v>11</v>
      </c>
      <c r="C333" s="3" t="s">
        <v>12</v>
      </c>
      <c r="D333" s="3" t="s">
        <v>156</v>
      </c>
      <c r="E333" s="3" t="s">
        <v>363</v>
      </c>
      <c r="F333" s="3" t="s">
        <v>15</v>
      </c>
      <c r="G333" s="3" t="s">
        <v>16</v>
      </c>
      <c r="H333" s="3" t="s">
        <v>364</v>
      </c>
      <c r="I333" s="4" t="s">
        <v>18</v>
      </c>
      <c r="J333" s="4">
        <v>3</v>
      </c>
      <c r="K333" s="4"/>
      <c r="L333" s="12">
        <v>39478</v>
      </c>
      <c r="M333" s="13">
        <v>10117</v>
      </c>
      <c r="N333" s="9">
        <v>10117</v>
      </c>
      <c r="O333" s="43">
        <f>'[6]6107PROP'!$P$37</f>
        <v>10893.24</v>
      </c>
      <c r="P333" s="39">
        <v>0</v>
      </c>
      <c r="Q333" s="38">
        <f>'[7]6115REV'!$P$37</f>
        <v>0</v>
      </c>
    </row>
    <row r="334" spans="1:17" x14ac:dyDescent="0.25">
      <c r="A334" s="3" t="s">
        <v>373</v>
      </c>
      <c r="B334" s="3" t="s">
        <v>11</v>
      </c>
      <c r="C334" s="3" t="s">
        <v>12</v>
      </c>
      <c r="D334" s="3" t="s">
        <v>151</v>
      </c>
      <c r="E334" s="3" t="s">
        <v>363</v>
      </c>
      <c r="F334" s="3" t="s">
        <v>15</v>
      </c>
      <c r="G334" s="3" t="s">
        <v>16</v>
      </c>
      <c r="H334" s="3" t="s">
        <v>364</v>
      </c>
      <c r="I334" s="4" t="s">
        <v>18</v>
      </c>
      <c r="J334" s="4">
        <v>3</v>
      </c>
      <c r="K334" s="4"/>
      <c r="L334" s="12">
        <v>3366</v>
      </c>
      <c r="M334" s="13">
        <v>2883</v>
      </c>
      <c r="N334" s="9">
        <v>2883</v>
      </c>
      <c r="O334" s="43">
        <f>'[6]6107PROP'!$R$37</f>
        <v>3465</v>
      </c>
      <c r="P334" s="39">
        <v>587.16</v>
      </c>
      <c r="Q334" s="57">
        <f>'[7]6115REV'!$R$37</f>
        <v>0</v>
      </c>
    </row>
    <row r="335" spans="1:17" x14ac:dyDescent="0.25">
      <c r="A335" s="3" t="s">
        <v>372</v>
      </c>
      <c r="B335" s="3" t="s">
        <v>11</v>
      </c>
      <c r="C335" s="3" t="s">
        <v>12</v>
      </c>
      <c r="D335" s="3" t="s">
        <v>30</v>
      </c>
      <c r="E335" s="3" t="s">
        <v>363</v>
      </c>
      <c r="F335" s="3" t="s">
        <v>15</v>
      </c>
      <c r="G335" s="3" t="s">
        <v>16</v>
      </c>
      <c r="H335" s="3" t="s">
        <v>364</v>
      </c>
      <c r="I335" s="4" t="s">
        <v>18</v>
      </c>
      <c r="J335" s="4">
        <v>3</v>
      </c>
      <c r="K335" s="4"/>
      <c r="L335" s="12">
        <v>69576.5</v>
      </c>
      <c r="M335" s="13">
        <v>62555</v>
      </c>
      <c r="N335" s="9">
        <v>62555</v>
      </c>
      <c r="O335" s="43">
        <f>'[6]6107PROP'!$Q$37</f>
        <v>78990.248068504196</v>
      </c>
      <c r="P335" s="39">
        <v>12127.87</v>
      </c>
      <c r="Q335" s="57">
        <f>'[7]6115REV'!$Q$37</f>
        <v>0</v>
      </c>
    </row>
    <row r="336" spans="1:17" x14ac:dyDescent="0.25">
      <c r="A336" s="3" t="s">
        <v>378</v>
      </c>
      <c r="B336" s="3" t="s">
        <v>11</v>
      </c>
      <c r="C336" s="3" t="s">
        <v>12</v>
      </c>
      <c r="D336" s="3" t="s">
        <v>193</v>
      </c>
      <c r="E336" s="3" t="s">
        <v>363</v>
      </c>
      <c r="F336" s="3" t="s">
        <v>15</v>
      </c>
      <c r="G336" s="3" t="s">
        <v>16</v>
      </c>
      <c r="H336" s="3" t="s">
        <v>364</v>
      </c>
      <c r="I336" s="4" t="s">
        <v>18</v>
      </c>
      <c r="J336" s="4">
        <v>3</v>
      </c>
      <c r="K336" s="4"/>
      <c r="L336" s="12">
        <v>5038</v>
      </c>
      <c r="M336" s="13">
        <v>7673</v>
      </c>
      <c r="N336" s="9">
        <v>7673</v>
      </c>
      <c r="O336" s="43">
        <f>'[6]6107PROP'!$S$37</f>
        <v>5037.24</v>
      </c>
      <c r="P336" s="39">
        <v>0</v>
      </c>
      <c r="Q336" s="38">
        <f>'[7]6115REV'!$S$37</f>
        <v>0</v>
      </c>
    </row>
    <row r="337" spans="1:17" x14ac:dyDescent="0.25">
      <c r="A337" s="3" t="s">
        <v>376</v>
      </c>
      <c r="B337" s="3" t="s">
        <v>11</v>
      </c>
      <c r="C337" s="3" t="s">
        <v>12</v>
      </c>
      <c r="D337" s="3" t="s">
        <v>43</v>
      </c>
      <c r="E337" s="3" t="s">
        <v>363</v>
      </c>
      <c r="F337" s="3" t="s">
        <v>15</v>
      </c>
      <c r="G337" s="3" t="s">
        <v>16</v>
      </c>
      <c r="H337" s="3" t="s">
        <v>364</v>
      </c>
      <c r="I337" s="4" t="s">
        <v>18</v>
      </c>
      <c r="J337" s="4">
        <v>3</v>
      </c>
      <c r="K337" s="4"/>
      <c r="L337" s="12">
        <v>47345.62</v>
      </c>
      <c r="M337" s="13">
        <v>52446</v>
      </c>
      <c r="N337" s="9">
        <v>52446</v>
      </c>
      <c r="O337" s="43">
        <f>'[6]6107PROP'!$T$37</f>
        <v>48205.220430120011</v>
      </c>
      <c r="P337" s="39">
        <v>9317.9599999999991</v>
      </c>
      <c r="Q337" s="57">
        <f>'[7]6115REV'!$T$37</f>
        <v>0</v>
      </c>
    </row>
    <row r="338" spans="1:17" x14ac:dyDescent="0.25">
      <c r="A338" s="3" t="s">
        <v>334</v>
      </c>
      <c r="B338" s="3" t="s">
        <v>11</v>
      </c>
      <c r="C338" s="3" t="s">
        <v>12</v>
      </c>
      <c r="D338" s="3" t="s">
        <v>157</v>
      </c>
      <c r="E338" s="3" t="s">
        <v>323</v>
      </c>
      <c r="F338" s="3" t="s">
        <v>15</v>
      </c>
      <c r="G338" s="3" t="s">
        <v>16</v>
      </c>
      <c r="H338" s="3" t="s">
        <v>324</v>
      </c>
      <c r="I338" s="4" t="s">
        <v>18</v>
      </c>
      <c r="J338" s="4">
        <v>3</v>
      </c>
      <c r="K338" s="4"/>
      <c r="L338" s="12">
        <v>1291984</v>
      </c>
      <c r="M338" s="13">
        <v>1270235</v>
      </c>
      <c r="N338" s="9">
        <v>1270235</v>
      </c>
      <c r="O338" s="43">
        <f>'[6]6105IT'!$E$8</f>
        <v>1388780.0464919999</v>
      </c>
      <c r="P338" s="39">
        <v>326364.45</v>
      </c>
      <c r="Q338" s="57">
        <f>'[7]6115REV'!$E$8</f>
        <v>95778.334232999987</v>
      </c>
    </row>
    <row r="339" spans="1:17" x14ac:dyDescent="0.25">
      <c r="A339" s="3" t="s">
        <v>329</v>
      </c>
      <c r="B339" s="3" t="s">
        <v>11</v>
      </c>
      <c r="C339" s="3" t="s">
        <v>12</v>
      </c>
      <c r="D339" s="3" t="s">
        <v>1630</v>
      </c>
      <c r="E339" s="3" t="s">
        <v>323</v>
      </c>
      <c r="F339" s="3" t="s">
        <v>15</v>
      </c>
      <c r="G339" s="3" t="s">
        <v>16</v>
      </c>
      <c r="H339" s="3" t="s">
        <v>324</v>
      </c>
      <c r="I339" s="4" t="s">
        <v>18</v>
      </c>
      <c r="J339" s="4">
        <v>3</v>
      </c>
      <c r="K339" s="4"/>
      <c r="L339" s="12">
        <v>40000</v>
      </c>
      <c r="M339" s="13">
        <v>20000</v>
      </c>
      <c r="N339" s="9">
        <v>20000</v>
      </c>
      <c r="O339" s="43">
        <v>15000</v>
      </c>
      <c r="P339" s="39">
        <v>0</v>
      </c>
      <c r="Q339" s="38">
        <v>15000</v>
      </c>
    </row>
    <row r="340" spans="1:17" x14ac:dyDescent="0.25">
      <c r="A340" s="3" t="s">
        <v>330</v>
      </c>
      <c r="B340" s="3" t="s">
        <v>11</v>
      </c>
      <c r="C340" s="3" t="s">
        <v>12</v>
      </c>
      <c r="D340" s="3" t="s">
        <v>153</v>
      </c>
      <c r="E340" s="3" t="s">
        <v>323</v>
      </c>
      <c r="F340" s="3" t="s">
        <v>15</v>
      </c>
      <c r="G340" s="3" t="s">
        <v>16</v>
      </c>
      <c r="H340" s="3" t="s">
        <v>324</v>
      </c>
      <c r="I340" s="4" t="s">
        <v>18</v>
      </c>
      <c r="J340" s="4">
        <v>3</v>
      </c>
      <c r="K340" s="4"/>
      <c r="L340" s="12">
        <v>100224</v>
      </c>
      <c r="M340" s="13">
        <v>101635</v>
      </c>
      <c r="N340" s="9">
        <v>101635</v>
      </c>
      <c r="O340" s="43">
        <f>'[6]6105IT'!$I$8</f>
        <v>108241.670541</v>
      </c>
      <c r="P340" s="39">
        <v>0</v>
      </c>
      <c r="Q340" s="38">
        <f>'[7]6115REV'!$I$8</f>
        <v>31926.111410999994</v>
      </c>
    </row>
    <row r="341" spans="1:17" x14ac:dyDescent="0.25">
      <c r="A341" s="3" t="s">
        <v>327</v>
      </c>
      <c r="B341" s="3" t="s">
        <v>11</v>
      </c>
      <c r="C341" s="3" t="s">
        <v>12</v>
      </c>
      <c r="D341" s="3" t="s">
        <v>41</v>
      </c>
      <c r="E341" s="3" t="s">
        <v>323</v>
      </c>
      <c r="F341" s="3" t="s">
        <v>15</v>
      </c>
      <c r="G341" s="3" t="s">
        <v>16</v>
      </c>
      <c r="H341" s="3" t="s">
        <v>324</v>
      </c>
      <c r="I341" s="4" t="s">
        <v>18</v>
      </c>
      <c r="J341" s="4">
        <v>3</v>
      </c>
      <c r="K341" s="4"/>
      <c r="L341" s="12">
        <v>264592</v>
      </c>
      <c r="M341" s="13">
        <v>248102</v>
      </c>
      <c r="N341" s="9">
        <v>248102</v>
      </c>
      <c r="O341" s="43">
        <f>'[6]6105IT'!$K$8</f>
        <v>285758.01022823999</v>
      </c>
      <c r="P341" s="39">
        <v>62391.44</v>
      </c>
      <c r="Q341" s="38">
        <f>'[7]6115REV'!$K$8</f>
        <v>21071.233531259997</v>
      </c>
    </row>
    <row r="342" spans="1:17" x14ac:dyDescent="0.25">
      <c r="A342" s="3" t="s">
        <v>326</v>
      </c>
      <c r="B342" s="3" t="s">
        <v>11</v>
      </c>
      <c r="C342" s="3" t="s">
        <v>12</v>
      </c>
      <c r="D342" s="3" t="s">
        <v>36</v>
      </c>
      <c r="E342" s="3" t="s">
        <v>323</v>
      </c>
      <c r="F342" s="3" t="s">
        <v>15</v>
      </c>
      <c r="G342" s="3" t="s">
        <v>16</v>
      </c>
      <c r="H342" s="3" t="s">
        <v>324</v>
      </c>
      <c r="I342" s="4" t="s">
        <v>18</v>
      </c>
      <c r="J342" s="4">
        <v>3</v>
      </c>
      <c r="K342" s="4"/>
      <c r="L342" s="12">
        <v>45373</v>
      </c>
      <c r="M342" s="13">
        <v>45372</v>
      </c>
      <c r="N342" s="9">
        <v>45372</v>
      </c>
      <c r="O342" s="43">
        <f>'[8]6105IT'!$L$8</f>
        <v>45372</v>
      </c>
      <c r="P342" s="39">
        <v>17509.05</v>
      </c>
      <c r="Q342" s="38">
        <f>'[7]6115REV'!$L$8</f>
        <v>0</v>
      </c>
    </row>
    <row r="343" spans="1:17" x14ac:dyDescent="0.25">
      <c r="A343" s="3" t="s">
        <v>333</v>
      </c>
      <c r="B343" s="3" t="s">
        <v>11</v>
      </c>
      <c r="C343" s="3" t="s">
        <v>12</v>
      </c>
      <c r="D343" s="3" t="s">
        <v>47</v>
      </c>
      <c r="E343" s="3" t="s">
        <v>323</v>
      </c>
      <c r="F343" s="3" t="s">
        <v>15</v>
      </c>
      <c r="G343" s="3" t="s">
        <v>16</v>
      </c>
      <c r="H343" s="3" t="s">
        <v>324</v>
      </c>
      <c r="I343" s="4" t="s">
        <v>18</v>
      </c>
      <c r="J343" s="4">
        <v>3</v>
      </c>
      <c r="K343" s="4"/>
      <c r="L343" s="12">
        <v>420005</v>
      </c>
      <c r="M343" s="13">
        <v>428505</v>
      </c>
      <c r="N343" s="9">
        <v>428505</v>
      </c>
      <c r="O343" s="43">
        <f>'[8]6105IT'!$M$8</f>
        <v>472671.72</v>
      </c>
      <c r="P343" s="39">
        <v>117946.41</v>
      </c>
      <c r="Q343" s="38">
        <f>'[7]6115REV'!$M$8</f>
        <v>0</v>
      </c>
    </row>
    <row r="344" spans="1:17" x14ac:dyDescent="0.25">
      <c r="A344" s="3" t="s">
        <v>355</v>
      </c>
      <c r="B344" s="3" t="s">
        <v>11</v>
      </c>
      <c r="C344" s="3" t="s">
        <v>12</v>
      </c>
      <c r="D344" s="3" t="s">
        <v>45</v>
      </c>
      <c r="E344" s="3" t="s">
        <v>323</v>
      </c>
      <c r="F344" s="3" t="s">
        <v>37</v>
      </c>
      <c r="G344" s="3" t="s">
        <v>16</v>
      </c>
      <c r="H344" s="3" t="s">
        <v>324</v>
      </c>
      <c r="I344" s="4" t="s">
        <v>38</v>
      </c>
      <c r="J344" s="4">
        <v>3</v>
      </c>
      <c r="K344" s="4"/>
      <c r="L344" s="12">
        <v>12800</v>
      </c>
      <c r="M344" s="13">
        <v>19500</v>
      </c>
      <c r="N344" s="9">
        <v>19500</v>
      </c>
      <c r="O344" s="43">
        <f>'[8]6105IT'!$N$8</f>
        <v>26400</v>
      </c>
      <c r="P344" s="39">
        <v>7029</v>
      </c>
      <c r="Q344" s="38">
        <f>'[7]6115REV'!$N$8</f>
        <v>2274</v>
      </c>
    </row>
    <row r="345" spans="1:17" x14ac:dyDescent="0.25">
      <c r="A345" s="3" t="s">
        <v>332</v>
      </c>
      <c r="B345" s="3" t="s">
        <v>11</v>
      </c>
      <c r="C345" s="3" t="s">
        <v>12</v>
      </c>
      <c r="D345" s="3" t="s">
        <v>156</v>
      </c>
      <c r="E345" s="3" t="s">
        <v>323</v>
      </c>
      <c r="F345" s="3" t="s">
        <v>15</v>
      </c>
      <c r="G345" s="3" t="s">
        <v>16</v>
      </c>
      <c r="H345" s="3" t="s">
        <v>324</v>
      </c>
      <c r="I345" s="4" t="s">
        <v>18</v>
      </c>
      <c r="J345" s="4">
        <v>3</v>
      </c>
      <c r="K345" s="4"/>
      <c r="L345" s="12">
        <v>9559</v>
      </c>
      <c r="M345" s="13">
        <v>10117</v>
      </c>
      <c r="N345" s="9">
        <v>10117</v>
      </c>
      <c r="O345" s="43">
        <f>'[6]6105IT'!$P$8</f>
        <v>10893.24</v>
      </c>
      <c r="P345" s="39">
        <v>2723.31</v>
      </c>
      <c r="Q345" s="38">
        <f>'[7]6115REV'!$P$8</f>
        <v>0</v>
      </c>
    </row>
    <row r="346" spans="1:17" x14ac:dyDescent="0.25">
      <c r="A346" s="3" t="s">
        <v>325</v>
      </c>
      <c r="B346" s="3" t="s">
        <v>11</v>
      </c>
      <c r="C346" s="3" t="s">
        <v>12</v>
      </c>
      <c r="D346" s="3" t="s">
        <v>151</v>
      </c>
      <c r="E346" s="3" t="s">
        <v>323</v>
      </c>
      <c r="F346" s="3" t="s">
        <v>15</v>
      </c>
      <c r="G346" s="3" t="s">
        <v>16</v>
      </c>
      <c r="H346" s="3" t="s">
        <v>324</v>
      </c>
      <c r="I346" s="4" t="s">
        <v>18</v>
      </c>
      <c r="J346" s="4">
        <v>3</v>
      </c>
      <c r="K346" s="4"/>
      <c r="L346" s="12">
        <v>297</v>
      </c>
      <c r="M346" s="13">
        <v>314</v>
      </c>
      <c r="N346" s="9">
        <v>314</v>
      </c>
      <c r="O346" s="43">
        <f>'[8]6105IT'!$R$8</f>
        <v>315</v>
      </c>
      <c r="P346" s="39">
        <v>83.88</v>
      </c>
      <c r="Q346" s="38">
        <f>'[7]6115REV'!$R$8</f>
        <v>26.25</v>
      </c>
    </row>
    <row r="347" spans="1:17" x14ac:dyDescent="0.25">
      <c r="A347" s="3" t="s">
        <v>322</v>
      </c>
      <c r="B347" s="3" t="s">
        <v>11</v>
      </c>
      <c r="C347" s="3" t="s">
        <v>12</v>
      </c>
      <c r="D347" s="3" t="s">
        <v>30</v>
      </c>
      <c r="E347" s="3" t="s">
        <v>323</v>
      </c>
      <c r="F347" s="3" t="s">
        <v>15</v>
      </c>
      <c r="G347" s="3" t="s">
        <v>16</v>
      </c>
      <c r="H347" s="3" t="s">
        <v>324</v>
      </c>
      <c r="I347" s="4" t="s">
        <v>18</v>
      </c>
      <c r="J347" s="4">
        <v>3</v>
      </c>
      <c r="K347" s="4"/>
      <c r="L347" s="12">
        <v>12920</v>
      </c>
      <c r="M347" s="13">
        <v>14169</v>
      </c>
      <c r="N347" s="9">
        <v>14169</v>
      </c>
      <c r="O347" s="43">
        <f>'[6]6105IT'!$Q$8</f>
        <v>13887.800464919999</v>
      </c>
      <c r="P347" s="39">
        <v>4381.7299999999996</v>
      </c>
      <c r="Q347" s="57">
        <f>'[7]6115REV'!$Q$8</f>
        <v>957.78334232999987</v>
      </c>
    </row>
    <row r="348" spans="1:17" x14ac:dyDescent="0.25">
      <c r="A348" s="3" t="s">
        <v>331</v>
      </c>
      <c r="B348" s="3" t="s">
        <v>11</v>
      </c>
      <c r="C348" s="3" t="s">
        <v>12</v>
      </c>
      <c r="D348" s="3" t="s">
        <v>155</v>
      </c>
      <c r="E348" s="3" t="s">
        <v>323</v>
      </c>
      <c r="F348" s="3" t="s">
        <v>37</v>
      </c>
      <c r="G348" s="3" t="s">
        <v>16</v>
      </c>
      <c r="H348" s="3" t="s">
        <v>324</v>
      </c>
      <c r="I348" s="4" t="s">
        <v>38</v>
      </c>
      <c r="J348" s="4">
        <v>1</v>
      </c>
      <c r="K348" s="4"/>
      <c r="L348" s="12">
        <v>0</v>
      </c>
      <c r="M348" s="13">
        <v>0</v>
      </c>
      <c r="N348" s="9">
        <v>0</v>
      </c>
      <c r="O348" s="43">
        <f>'[8]6105IT'!$J$8</f>
        <v>14788.78</v>
      </c>
      <c r="P348" s="39">
        <v>14583.38</v>
      </c>
      <c r="Q348" s="38">
        <f>'[7]6115REV'!$J$8</f>
        <v>0</v>
      </c>
    </row>
    <row r="349" spans="1:17" x14ac:dyDescent="0.25">
      <c r="A349" s="3" t="s">
        <v>328</v>
      </c>
      <c r="B349" s="3" t="s">
        <v>11</v>
      </c>
      <c r="C349" s="3" t="s">
        <v>12</v>
      </c>
      <c r="D349" s="3" t="s">
        <v>43</v>
      </c>
      <c r="E349" s="3" t="s">
        <v>323</v>
      </c>
      <c r="F349" s="3" t="s">
        <v>15</v>
      </c>
      <c r="G349" s="3" t="s">
        <v>16</v>
      </c>
      <c r="H349" s="3" t="s">
        <v>324</v>
      </c>
      <c r="I349" s="4" t="s">
        <v>18</v>
      </c>
      <c r="J349" s="4">
        <v>3</v>
      </c>
      <c r="K349" s="4"/>
      <c r="L349" s="12">
        <v>5385</v>
      </c>
      <c r="M349" s="13">
        <v>7618</v>
      </c>
      <c r="N349" s="9">
        <v>7618</v>
      </c>
      <c r="O349" s="43">
        <f>'[6]6105IT'!$T$8</f>
        <v>5390.8799999999992</v>
      </c>
      <c r="P349" s="39">
        <v>1338.48</v>
      </c>
      <c r="Q349" s="57">
        <f>'[7]6115REV'!$T$8</f>
        <v>957.78334232999987</v>
      </c>
    </row>
    <row r="350" spans="1:17" x14ac:dyDescent="0.25">
      <c r="A350" s="3" t="s">
        <v>296</v>
      </c>
      <c r="B350" s="3" t="s">
        <v>11</v>
      </c>
      <c r="C350" s="3" t="s">
        <v>12</v>
      </c>
      <c r="D350" s="3" t="s">
        <v>157</v>
      </c>
      <c r="E350" s="3" t="s">
        <v>279</v>
      </c>
      <c r="F350" s="3" t="s">
        <v>15</v>
      </c>
      <c r="G350" s="3" t="s">
        <v>16</v>
      </c>
      <c r="H350" s="3" t="s">
        <v>280</v>
      </c>
      <c r="I350" s="4" t="s">
        <v>18</v>
      </c>
      <c r="J350" s="4">
        <v>3</v>
      </c>
      <c r="K350" s="4"/>
      <c r="L350" s="12">
        <v>948587</v>
      </c>
      <c r="M350" s="13">
        <v>944622</v>
      </c>
      <c r="N350" s="9">
        <v>944622</v>
      </c>
      <c r="O350" s="43">
        <f>'[6]6104HRD'!$E$7</f>
        <v>1016897.4074159999</v>
      </c>
      <c r="P350" s="39">
        <v>254224.32</v>
      </c>
      <c r="Q350" s="38">
        <f>'[7]6115REV'!$E$7</f>
        <v>44818.629300000001</v>
      </c>
    </row>
    <row r="351" spans="1:17" x14ac:dyDescent="0.25">
      <c r="A351" s="3" t="s">
        <v>1172</v>
      </c>
      <c r="B351" s="3" t="s">
        <v>11</v>
      </c>
      <c r="C351" s="3" t="s">
        <v>12</v>
      </c>
      <c r="D351" s="3" t="s">
        <v>249</v>
      </c>
      <c r="E351" s="3" t="s">
        <v>279</v>
      </c>
      <c r="F351" s="3" t="s">
        <v>15</v>
      </c>
      <c r="G351" s="3" t="s">
        <v>16</v>
      </c>
      <c r="H351" s="3" t="s">
        <v>280</v>
      </c>
      <c r="I351" s="4" t="s">
        <v>18</v>
      </c>
      <c r="J351" s="4">
        <v>3</v>
      </c>
      <c r="K351" s="4"/>
      <c r="L351" s="33">
        <v>0</v>
      </c>
      <c r="M351" s="13">
        <v>30428</v>
      </c>
      <c r="N351" s="9">
        <v>30428</v>
      </c>
      <c r="O351" s="43">
        <f>'[8]6104HRD'!$G$7</f>
        <v>0</v>
      </c>
      <c r="P351" s="39">
        <v>0</v>
      </c>
      <c r="Q351" s="38">
        <v>0</v>
      </c>
    </row>
    <row r="352" spans="1:17" x14ac:dyDescent="0.25">
      <c r="A352" s="3" t="s">
        <v>307</v>
      </c>
      <c r="B352" s="3" t="s">
        <v>11</v>
      </c>
      <c r="C352" s="3" t="s">
        <v>12</v>
      </c>
      <c r="D352" s="3" t="s">
        <v>153</v>
      </c>
      <c r="E352" s="3" t="s">
        <v>279</v>
      </c>
      <c r="F352" s="3" t="s">
        <v>15</v>
      </c>
      <c r="G352" s="3" t="s">
        <v>16</v>
      </c>
      <c r="H352" s="3" t="s">
        <v>280</v>
      </c>
      <c r="I352" s="4" t="s">
        <v>18</v>
      </c>
      <c r="J352" s="4">
        <v>3</v>
      </c>
      <c r="K352" s="4"/>
      <c r="L352" s="12">
        <v>79049</v>
      </c>
      <c r="M352" s="13">
        <v>79569</v>
      </c>
      <c r="N352" s="9">
        <v>79569</v>
      </c>
      <c r="O352" s="43">
        <f>'[6]6104HRD'!$I$7</f>
        <v>84741.450618000003</v>
      </c>
      <c r="P352" s="39">
        <v>0</v>
      </c>
      <c r="Q352" s="38">
        <f>'[7]6115REV'!$I$7</f>
        <v>14939.543100000001</v>
      </c>
    </row>
    <row r="353" spans="1:17" x14ac:dyDescent="0.25">
      <c r="A353" s="3" t="s">
        <v>308</v>
      </c>
      <c r="B353" s="3" t="s">
        <v>11</v>
      </c>
      <c r="C353" s="3" t="s">
        <v>12</v>
      </c>
      <c r="D353" s="3" t="s">
        <v>155</v>
      </c>
      <c r="E353" s="3" t="s">
        <v>279</v>
      </c>
      <c r="F353" s="3" t="s">
        <v>15</v>
      </c>
      <c r="G353" s="3" t="s">
        <v>16</v>
      </c>
      <c r="H353" s="3" t="s">
        <v>280</v>
      </c>
      <c r="I353" s="4" t="s">
        <v>18</v>
      </c>
      <c r="J353" s="4">
        <v>3</v>
      </c>
      <c r="K353" s="4"/>
      <c r="L353" s="12">
        <v>13693</v>
      </c>
      <c r="M353" s="13">
        <v>13693</v>
      </c>
      <c r="N353" s="9">
        <v>13693</v>
      </c>
      <c r="O353" s="43">
        <f>'[8]6104HRD'!$J$7</f>
        <v>0</v>
      </c>
      <c r="P353" s="39">
        <v>0</v>
      </c>
      <c r="Q353" s="38">
        <v>0</v>
      </c>
    </row>
    <row r="354" spans="1:17" x14ac:dyDescent="0.25">
      <c r="A354" s="3" t="s">
        <v>283</v>
      </c>
      <c r="B354" s="3" t="s">
        <v>11</v>
      </c>
      <c r="C354" s="3" t="s">
        <v>12</v>
      </c>
      <c r="D354" s="3" t="s">
        <v>1630</v>
      </c>
      <c r="E354" s="3" t="s">
        <v>279</v>
      </c>
      <c r="F354" s="3" t="s">
        <v>37</v>
      </c>
      <c r="G354" s="3" t="s">
        <v>16</v>
      </c>
      <c r="H354" s="3" t="s">
        <v>284</v>
      </c>
      <c r="I354" s="4" t="s">
        <v>38</v>
      </c>
      <c r="J354" s="4">
        <v>1</v>
      </c>
      <c r="K354" s="4"/>
      <c r="L354" s="12">
        <v>0</v>
      </c>
      <c r="M354" s="13">
        <v>0</v>
      </c>
      <c r="N354" s="9">
        <v>0</v>
      </c>
      <c r="O354" s="43">
        <f>'[8]6104HRD'!$H$7</f>
        <v>0</v>
      </c>
      <c r="P354" s="39"/>
      <c r="Q354" s="38">
        <v>0</v>
      </c>
    </row>
    <row r="355" spans="1:17" x14ac:dyDescent="0.25">
      <c r="A355" s="3" t="s">
        <v>306</v>
      </c>
      <c r="B355" s="3" t="s">
        <v>11</v>
      </c>
      <c r="C355" s="3" t="s">
        <v>12</v>
      </c>
      <c r="D355" s="3" t="s">
        <v>41</v>
      </c>
      <c r="E355" s="3" t="s">
        <v>279</v>
      </c>
      <c r="F355" s="3" t="s">
        <v>15</v>
      </c>
      <c r="G355" s="3" t="s">
        <v>16</v>
      </c>
      <c r="H355" s="3" t="s">
        <v>280</v>
      </c>
      <c r="I355" s="4" t="s">
        <v>18</v>
      </c>
      <c r="J355" s="4">
        <v>3</v>
      </c>
      <c r="K355" s="4"/>
      <c r="L355" s="12">
        <v>208687</v>
      </c>
      <c r="M355" s="13">
        <v>207773</v>
      </c>
      <c r="N355" s="9">
        <v>207773</v>
      </c>
      <c r="O355" s="43">
        <f>'[6]6104HRD'!$K$7</f>
        <v>223717.42963152</v>
      </c>
      <c r="P355" s="39">
        <v>55929.33</v>
      </c>
      <c r="Q355" s="38">
        <f>'[7]6115REV'!$K$7</f>
        <v>9860.098446</v>
      </c>
    </row>
    <row r="356" spans="1:17" x14ac:dyDescent="0.25">
      <c r="A356" s="3" t="s">
        <v>305</v>
      </c>
      <c r="B356" s="3" t="s">
        <v>11</v>
      </c>
      <c r="C356" s="3" t="s">
        <v>12</v>
      </c>
      <c r="D356" s="3" t="s">
        <v>36</v>
      </c>
      <c r="E356" s="3" t="s">
        <v>279</v>
      </c>
      <c r="F356" s="3" t="s">
        <v>15</v>
      </c>
      <c r="G356" s="3" t="s">
        <v>16</v>
      </c>
      <c r="H356" s="3" t="s">
        <v>280</v>
      </c>
      <c r="I356" s="4" t="s">
        <v>18</v>
      </c>
      <c r="J356" s="4">
        <v>3</v>
      </c>
      <c r="K356" s="4"/>
      <c r="L356" s="12">
        <v>89230</v>
      </c>
      <c r="M356" s="13">
        <v>92929</v>
      </c>
      <c r="N356" s="9">
        <v>92929</v>
      </c>
      <c r="O356" s="43">
        <f>'[8]6104HRD'!$L$7</f>
        <v>96628.799999999988</v>
      </c>
      <c r="P356" s="39">
        <v>24161.4</v>
      </c>
      <c r="Q356" s="38">
        <f>'[7]6115REV'!$L$7</f>
        <v>0</v>
      </c>
    </row>
    <row r="357" spans="1:17" x14ac:dyDescent="0.25">
      <c r="A357" s="3" t="s">
        <v>321</v>
      </c>
      <c r="B357" s="3" t="s">
        <v>11</v>
      </c>
      <c r="C357" s="3" t="s">
        <v>12</v>
      </c>
      <c r="D357" s="3" t="s">
        <v>47</v>
      </c>
      <c r="E357" s="3" t="s">
        <v>279</v>
      </c>
      <c r="F357" s="3" t="s">
        <v>15</v>
      </c>
      <c r="G357" s="3" t="s">
        <v>16</v>
      </c>
      <c r="H357" s="3" t="s">
        <v>280</v>
      </c>
      <c r="I357" s="4" t="s">
        <v>18</v>
      </c>
      <c r="J357" s="4">
        <v>3</v>
      </c>
      <c r="K357" s="4"/>
      <c r="L357" s="12">
        <v>384418</v>
      </c>
      <c r="M357" s="13">
        <v>317073</v>
      </c>
      <c r="N357" s="9">
        <v>317073</v>
      </c>
      <c r="O357" s="43">
        <f>'[8]6104HRD'!$M$7</f>
        <v>402782.16000000003</v>
      </c>
      <c r="P357" s="39">
        <v>72977.37</v>
      </c>
      <c r="Q357" s="38">
        <f>'[7]6115REV'!$M$7</f>
        <v>0</v>
      </c>
    </row>
    <row r="358" spans="1:17" x14ac:dyDescent="0.25">
      <c r="A358" s="3" t="s">
        <v>297</v>
      </c>
      <c r="B358" s="3" t="s">
        <v>11</v>
      </c>
      <c r="C358" s="3" t="s">
        <v>12</v>
      </c>
      <c r="D358" s="3" t="s">
        <v>45</v>
      </c>
      <c r="E358" s="3" t="s">
        <v>279</v>
      </c>
      <c r="F358" s="3" t="s">
        <v>37</v>
      </c>
      <c r="G358" s="3" t="s">
        <v>16</v>
      </c>
      <c r="H358" s="3" t="s">
        <v>284</v>
      </c>
      <c r="I358" s="4" t="s">
        <v>38</v>
      </c>
      <c r="J358" s="4">
        <v>3</v>
      </c>
      <c r="K358" s="4"/>
      <c r="L358" s="12">
        <v>15664</v>
      </c>
      <c r="M358" s="13">
        <v>17422</v>
      </c>
      <c r="N358" s="9">
        <v>17422</v>
      </c>
      <c r="O358" s="43">
        <f>'[8]6104HRD'!$N$7</f>
        <v>23496</v>
      </c>
      <c r="P358" s="39">
        <v>6255.81</v>
      </c>
      <c r="Q358" s="38">
        <f>'[7]6115REV'!$N$7</f>
        <v>0</v>
      </c>
    </row>
    <row r="359" spans="1:17" x14ac:dyDescent="0.25">
      <c r="A359" s="3" t="s">
        <v>320</v>
      </c>
      <c r="B359" s="3" t="s">
        <v>11</v>
      </c>
      <c r="C359" s="3" t="s">
        <v>12</v>
      </c>
      <c r="D359" s="3" t="s">
        <v>156</v>
      </c>
      <c r="E359" s="3" t="s">
        <v>279</v>
      </c>
      <c r="F359" s="3" t="s">
        <v>15</v>
      </c>
      <c r="G359" s="3" t="s">
        <v>16</v>
      </c>
      <c r="H359" s="3" t="s">
        <v>280</v>
      </c>
      <c r="I359" s="4" t="s">
        <v>18</v>
      </c>
      <c r="J359" s="4">
        <v>3</v>
      </c>
      <c r="K359" s="4"/>
      <c r="L359" s="12">
        <v>9559</v>
      </c>
      <c r="M359" s="13">
        <v>10117</v>
      </c>
      <c r="N359" s="9">
        <v>10117</v>
      </c>
      <c r="O359" s="43">
        <f>'[6]6104HRD'!$P$7</f>
        <v>10893.24</v>
      </c>
      <c r="P359" s="39">
        <v>2723.31</v>
      </c>
      <c r="Q359" s="38">
        <f>'[7]6115REV'!$P$7</f>
        <v>0</v>
      </c>
    </row>
    <row r="360" spans="1:17" x14ac:dyDescent="0.25">
      <c r="A360" s="3" t="s">
        <v>318</v>
      </c>
      <c r="B360" s="3" t="s">
        <v>11</v>
      </c>
      <c r="C360" s="3" t="s">
        <v>12</v>
      </c>
      <c r="D360" s="3" t="s">
        <v>151</v>
      </c>
      <c r="E360" s="3" t="s">
        <v>279</v>
      </c>
      <c r="F360" s="3" t="s">
        <v>15</v>
      </c>
      <c r="G360" s="3" t="s">
        <v>16</v>
      </c>
      <c r="H360" s="3" t="s">
        <v>280</v>
      </c>
      <c r="I360" s="4" t="s">
        <v>18</v>
      </c>
      <c r="J360" s="4">
        <v>3</v>
      </c>
      <c r="K360" s="4"/>
      <c r="L360" s="12">
        <v>297</v>
      </c>
      <c r="M360" s="13">
        <v>314</v>
      </c>
      <c r="N360" s="9">
        <v>314</v>
      </c>
      <c r="O360" s="43">
        <f>'[8]6104HRD'!$R$7</f>
        <v>315</v>
      </c>
      <c r="P360" s="39">
        <v>83.88</v>
      </c>
      <c r="Q360" s="38">
        <f>'[7]6115REV'!$R$7</f>
        <v>26.25</v>
      </c>
    </row>
    <row r="361" spans="1:17" x14ac:dyDescent="0.25">
      <c r="A361" s="3" t="s">
        <v>317</v>
      </c>
      <c r="B361" s="3" t="s">
        <v>11</v>
      </c>
      <c r="C361" s="3" t="s">
        <v>12</v>
      </c>
      <c r="D361" s="3" t="s">
        <v>30</v>
      </c>
      <c r="E361" s="3" t="s">
        <v>279</v>
      </c>
      <c r="F361" s="3" t="s">
        <v>15</v>
      </c>
      <c r="G361" s="3" t="s">
        <v>16</v>
      </c>
      <c r="H361" s="3" t="s">
        <v>280</v>
      </c>
      <c r="I361" s="4" t="s">
        <v>18</v>
      </c>
      <c r="J361" s="4">
        <v>3</v>
      </c>
      <c r="K361" s="4"/>
      <c r="L361" s="12">
        <v>9487</v>
      </c>
      <c r="M361" s="13">
        <v>10721</v>
      </c>
      <c r="N361" s="9">
        <v>10721</v>
      </c>
      <c r="O361" s="43">
        <f>'[6]6104HRD'!$Q$7</f>
        <v>10168.97407416</v>
      </c>
      <c r="P361" s="39">
        <v>3267.63</v>
      </c>
      <c r="Q361" s="38">
        <f>'[7]6115REV'!$Q$7</f>
        <v>448.18629300000003</v>
      </c>
    </row>
    <row r="362" spans="1:17" x14ac:dyDescent="0.25">
      <c r="A362" s="3" t="s">
        <v>319</v>
      </c>
      <c r="B362" s="3" t="s">
        <v>11</v>
      </c>
      <c r="C362" s="3" t="s">
        <v>12</v>
      </c>
      <c r="D362" s="3" t="s">
        <v>43</v>
      </c>
      <c r="E362" s="3" t="s">
        <v>279</v>
      </c>
      <c r="F362" s="3" t="s">
        <v>15</v>
      </c>
      <c r="G362" s="3" t="s">
        <v>16</v>
      </c>
      <c r="H362" s="3" t="s">
        <v>280</v>
      </c>
      <c r="I362" s="4" t="s">
        <v>18</v>
      </c>
      <c r="J362" s="4">
        <v>3</v>
      </c>
      <c r="K362" s="4"/>
      <c r="L362" s="12">
        <v>4492</v>
      </c>
      <c r="M362" s="13">
        <v>6648</v>
      </c>
      <c r="N362" s="9">
        <v>6648</v>
      </c>
      <c r="O362" s="43">
        <f>'[6]6104HRD'!$T$7</f>
        <v>4492.08</v>
      </c>
      <c r="P362" s="39">
        <v>1338.48</v>
      </c>
      <c r="Q362" s="38">
        <f>'[7]6115REV'!$T$7</f>
        <v>448.18629300000003</v>
      </c>
    </row>
    <row r="363" spans="1:17" x14ac:dyDescent="0.25">
      <c r="A363" s="3" t="s">
        <v>258</v>
      </c>
      <c r="B363" s="3" t="s">
        <v>11</v>
      </c>
      <c r="C363" s="3" t="s">
        <v>12</v>
      </c>
      <c r="D363" s="3" t="s">
        <v>157</v>
      </c>
      <c r="E363" s="3" t="s">
        <v>251</v>
      </c>
      <c r="F363" s="3" t="s">
        <v>15</v>
      </c>
      <c r="G363" s="3" t="s">
        <v>16</v>
      </c>
      <c r="H363" s="3" t="s">
        <v>248</v>
      </c>
      <c r="I363" s="4" t="s">
        <v>18</v>
      </c>
      <c r="J363" s="4">
        <v>3</v>
      </c>
      <c r="K363" s="4"/>
      <c r="L363" s="12">
        <v>2075101</v>
      </c>
      <c r="M363" s="13">
        <v>2169408.7200000002</v>
      </c>
      <c r="N363" s="9">
        <v>2169408.7200000002</v>
      </c>
      <c r="O363" s="43">
        <f>'[6]6103HRM'!$E$10</f>
        <v>2622879.5841539996</v>
      </c>
      <c r="P363" s="39">
        <v>559941.55000000005</v>
      </c>
      <c r="Q363" s="57">
        <f>'[7]6115REV'!$E$10</f>
        <v>461678.33304300002</v>
      </c>
    </row>
    <row r="364" spans="1:17" x14ac:dyDescent="0.25">
      <c r="A364" s="31" t="s">
        <v>1171</v>
      </c>
      <c r="B364" s="31" t="s">
        <v>11</v>
      </c>
      <c r="C364" s="31" t="s">
        <v>12</v>
      </c>
      <c r="D364" s="31" t="s">
        <v>249</v>
      </c>
      <c r="E364" s="31" t="s">
        <v>251</v>
      </c>
      <c r="F364" s="31" t="s">
        <v>15</v>
      </c>
      <c r="G364" s="31" t="s">
        <v>16</v>
      </c>
      <c r="H364" s="31" t="s">
        <v>250</v>
      </c>
      <c r="I364" s="32" t="s">
        <v>18</v>
      </c>
      <c r="J364" s="32">
        <v>3</v>
      </c>
      <c r="K364" s="32"/>
      <c r="L364" s="33">
        <v>0</v>
      </c>
      <c r="M364" s="36">
        <v>173000</v>
      </c>
      <c r="N364" s="34">
        <v>173000</v>
      </c>
      <c r="O364" s="43">
        <v>0</v>
      </c>
      <c r="P364" s="39">
        <v>0</v>
      </c>
      <c r="Q364" s="38">
        <v>0</v>
      </c>
    </row>
    <row r="365" spans="1:17" x14ac:dyDescent="0.25">
      <c r="A365" s="31" t="s">
        <v>278</v>
      </c>
      <c r="B365" s="31" t="s">
        <v>11</v>
      </c>
      <c r="C365" s="31" t="s">
        <v>12</v>
      </c>
      <c r="D365" s="31" t="s">
        <v>1630</v>
      </c>
      <c r="E365" s="31" t="s">
        <v>251</v>
      </c>
      <c r="F365" s="31" t="s">
        <v>15</v>
      </c>
      <c r="G365" s="31" t="s">
        <v>16</v>
      </c>
      <c r="H365" s="31" t="s">
        <v>248</v>
      </c>
      <c r="I365" s="32" t="s">
        <v>18</v>
      </c>
      <c r="J365" s="32">
        <v>3</v>
      </c>
      <c r="K365" s="32"/>
      <c r="L365" s="33">
        <v>60000</v>
      </c>
      <c r="M365" s="36">
        <v>47412</v>
      </c>
      <c r="N365" s="34">
        <v>47412</v>
      </c>
      <c r="O365" s="43">
        <v>50000</v>
      </c>
      <c r="P365" s="39">
        <v>60698.15</v>
      </c>
      <c r="Q365" s="57">
        <v>80000</v>
      </c>
    </row>
    <row r="366" spans="1:17" x14ac:dyDescent="0.25">
      <c r="A366" s="3" t="s">
        <v>265</v>
      </c>
      <c r="B366" s="3" t="s">
        <v>11</v>
      </c>
      <c r="C366" s="3" t="s">
        <v>12</v>
      </c>
      <c r="D366" s="3" t="s">
        <v>153</v>
      </c>
      <c r="E366" s="3" t="s">
        <v>251</v>
      </c>
      <c r="F366" s="3" t="s">
        <v>15</v>
      </c>
      <c r="G366" s="3" t="s">
        <v>16</v>
      </c>
      <c r="H366" s="3" t="s">
        <v>248</v>
      </c>
      <c r="I366" s="4" t="s">
        <v>18</v>
      </c>
      <c r="J366" s="4">
        <v>3</v>
      </c>
      <c r="K366" s="4"/>
      <c r="L366" s="12">
        <v>172925</v>
      </c>
      <c r="M366" s="13">
        <v>185248</v>
      </c>
      <c r="N366" s="9">
        <v>185248</v>
      </c>
      <c r="O366" s="43">
        <f>'[6]6103HRM'!$I$10</f>
        <v>218573.29867949997</v>
      </c>
      <c r="P366" s="39">
        <v>0</v>
      </c>
      <c r="Q366" s="38">
        <f>'[7]6115REV'!$I$10</f>
        <v>111081.92841299999</v>
      </c>
    </row>
    <row r="367" spans="1:17" x14ac:dyDescent="0.25">
      <c r="A367" s="3" t="s">
        <v>266</v>
      </c>
      <c r="B367" s="3" t="s">
        <v>11</v>
      </c>
      <c r="C367" s="3" t="s">
        <v>12</v>
      </c>
      <c r="D367" s="3" t="s">
        <v>155</v>
      </c>
      <c r="E367" s="3" t="s">
        <v>251</v>
      </c>
      <c r="F367" s="3" t="s">
        <v>15</v>
      </c>
      <c r="G367" s="3" t="s">
        <v>16</v>
      </c>
      <c r="H367" s="3" t="s">
        <v>248</v>
      </c>
      <c r="I367" s="4" t="s">
        <v>18</v>
      </c>
      <c r="J367" s="4">
        <v>3</v>
      </c>
      <c r="K367" s="4"/>
      <c r="L367" s="12">
        <v>15119</v>
      </c>
      <c r="M367" s="13">
        <v>15119</v>
      </c>
      <c r="N367" s="9">
        <v>15119</v>
      </c>
      <c r="O367" s="43">
        <f>'[8]6103HRM'!$J$10</f>
        <v>0</v>
      </c>
      <c r="P367" s="39">
        <v>0</v>
      </c>
      <c r="Q367" s="38">
        <v>0</v>
      </c>
    </row>
    <row r="368" spans="1:17" x14ac:dyDescent="0.25">
      <c r="A368" s="31" t="s">
        <v>260</v>
      </c>
      <c r="B368" s="31" t="s">
        <v>11</v>
      </c>
      <c r="C368" s="31" t="s">
        <v>12</v>
      </c>
      <c r="D368" s="31" t="s">
        <v>41</v>
      </c>
      <c r="E368" s="31" t="s">
        <v>251</v>
      </c>
      <c r="F368" s="31" t="s">
        <v>15</v>
      </c>
      <c r="G368" s="31" t="s">
        <v>16</v>
      </c>
      <c r="H368" s="31" t="s">
        <v>248</v>
      </c>
      <c r="I368" s="32" t="s">
        <v>18</v>
      </c>
      <c r="J368" s="32">
        <v>3</v>
      </c>
      <c r="K368" s="32"/>
      <c r="L368" s="33">
        <v>456522</v>
      </c>
      <c r="M368" s="36">
        <v>469039</v>
      </c>
      <c r="N368" s="34">
        <v>469039</v>
      </c>
      <c r="O368" s="43">
        <f>'[6]6103HRM'!$K$10</f>
        <v>577033.50851388008</v>
      </c>
      <c r="P368" s="39">
        <v>118742.85</v>
      </c>
      <c r="Q368" s="57">
        <f>'[7]6115REV'!$K$10</f>
        <v>101569.23326946</v>
      </c>
    </row>
    <row r="369" spans="1:17" x14ac:dyDescent="0.25">
      <c r="A369" s="3" t="s">
        <v>259</v>
      </c>
      <c r="B369" s="3" t="s">
        <v>11</v>
      </c>
      <c r="C369" s="3" t="s">
        <v>12</v>
      </c>
      <c r="D369" s="3" t="s">
        <v>36</v>
      </c>
      <c r="E369" s="3" t="s">
        <v>251</v>
      </c>
      <c r="F369" s="3" t="s">
        <v>15</v>
      </c>
      <c r="G369" s="3" t="s">
        <v>16</v>
      </c>
      <c r="H369" s="3" t="s">
        <v>248</v>
      </c>
      <c r="I369" s="4" t="s">
        <v>18</v>
      </c>
      <c r="J369" s="4">
        <v>3</v>
      </c>
      <c r="K369" s="4"/>
      <c r="L369" s="12">
        <v>196969</v>
      </c>
      <c r="M369" s="13">
        <v>198008</v>
      </c>
      <c r="N369" s="9">
        <v>198008</v>
      </c>
      <c r="O369" s="43">
        <f>'[8]6103HRM'!$L$10</f>
        <v>204232.80000000002</v>
      </c>
      <c r="P369" s="39">
        <v>52468.2</v>
      </c>
      <c r="Q369" s="38">
        <f>'[7]6115REV'!$L$10</f>
        <v>13035</v>
      </c>
    </row>
    <row r="370" spans="1:17" x14ac:dyDescent="0.25">
      <c r="A370" s="3" t="s">
        <v>273</v>
      </c>
      <c r="B370" s="3" t="s">
        <v>11</v>
      </c>
      <c r="C370" s="3" t="s">
        <v>12</v>
      </c>
      <c r="D370" s="3" t="s">
        <v>47</v>
      </c>
      <c r="E370" s="3" t="s">
        <v>251</v>
      </c>
      <c r="F370" s="3" t="s">
        <v>15</v>
      </c>
      <c r="G370" s="3" t="s">
        <v>16</v>
      </c>
      <c r="H370" s="3" t="s">
        <v>248</v>
      </c>
      <c r="I370" s="4" t="s">
        <v>18</v>
      </c>
      <c r="J370" s="4">
        <v>3</v>
      </c>
      <c r="K370" s="4"/>
      <c r="L370" s="12">
        <v>501592</v>
      </c>
      <c r="M370" s="13">
        <v>496964</v>
      </c>
      <c r="N370" s="9">
        <v>496964</v>
      </c>
      <c r="O370" s="43">
        <f>'[8]6103HRM'!$M$10</f>
        <v>536106.12</v>
      </c>
      <c r="P370" s="39">
        <v>134117.16</v>
      </c>
      <c r="Q370" s="38">
        <f>'[7]6115REV'!$M$10</f>
        <v>0</v>
      </c>
    </row>
    <row r="371" spans="1:17" x14ac:dyDescent="0.25">
      <c r="A371" s="3" t="s">
        <v>254</v>
      </c>
      <c r="B371" s="3" t="s">
        <v>11</v>
      </c>
      <c r="C371" s="3" t="s">
        <v>12</v>
      </c>
      <c r="D371" s="3" t="s">
        <v>45</v>
      </c>
      <c r="E371" s="3" t="s">
        <v>251</v>
      </c>
      <c r="F371" s="3" t="s">
        <v>37</v>
      </c>
      <c r="G371" s="3" t="s">
        <v>16</v>
      </c>
      <c r="H371" s="3" t="s">
        <v>255</v>
      </c>
      <c r="I371" s="4" t="s">
        <v>38</v>
      </c>
      <c r="J371" s="4">
        <v>3</v>
      </c>
      <c r="K371" s="4"/>
      <c r="L371" s="12">
        <v>12800</v>
      </c>
      <c r="M371" s="13">
        <v>23474</v>
      </c>
      <c r="N371" s="9">
        <v>23474</v>
      </c>
      <c r="O371" s="43">
        <f>'[8]6103HRM'!$N$10</f>
        <v>37896</v>
      </c>
      <c r="P371" s="39">
        <v>7668</v>
      </c>
      <c r="Q371" s="57">
        <f>'[7]6115REV'!$N$10</f>
        <v>2274</v>
      </c>
    </row>
    <row r="372" spans="1:17" x14ac:dyDescent="0.25">
      <c r="A372" s="3" t="s">
        <v>276</v>
      </c>
      <c r="B372" s="3" t="s">
        <v>11</v>
      </c>
      <c r="C372" s="3" t="s">
        <v>12</v>
      </c>
      <c r="D372" s="3" t="s">
        <v>156</v>
      </c>
      <c r="E372" s="3" t="s">
        <v>251</v>
      </c>
      <c r="F372" s="3" t="s">
        <v>15</v>
      </c>
      <c r="G372" s="3" t="s">
        <v>16</v>
      </c>
      <c r="H372" s="3" t="s">
        <v>248</v>
      </c>
      <c r="I372" s="4" t="s">
        <v>18</v>
      </c>
      <c r="J372" s="4">
        <v>3</v>
      </c>
      <c r="K372" s="4"/>
      <c r="L372" s="12">
        <v>19119</v>
      </c>
      <c r="M372" s="13">
        <v>20234</v>
      </c>
      <c r="N372" s="9">
        <v>20234</v>
      </c>
      <c r="O372" s="43">
        <f>'[6]6103HRM'!$P$10</f>
        <v>21786.48</v>
      </c>
      <c r="P372" s="39">
        <v>5446.62</v>
      </c>
      <c r="Q372" s="38">
        <f>'[7]6115REV'!$P$10</f>
        <v>0</v>
      </c>
    </row>
    <row r="373" spans="1:17" x14ac:dyDescent="0.25">
      <c r="A373" s="3" t="s">
        <v>267</v>
      </c>
      <c r="B373" s="3" t="s">
        <v>11</v>
      </c>
      <c r="C373" s="3" t="s">
        <v>12</v>
      </c>
      <c r="D373" s="3" t="s">
        <v>151</v>
      </c>
      <c r="E373" s="3" t="s">
        <v>251</v>
      </c>
      <c r="F373" s="3" t="s">
        <v>15</v>
      </c>
      <c r="G373" s="3" t="s">
        <v>16</v>
      </c>
      <c r="H373" s="3" t="s">
        <v>248</v>
      </c>
      <c r="I373" s="4" t="s">
        <v>18</v>
      </c>
      <c r="J373" s="4">
        <v>3</v>
      </c>
      <c r="K373" s="4"/>
      <c r="L373" s="12">
        <v>594</v>
      </c>
      <c r="M373" s="13">
        <v>653</v>
      </c>
      <c r="N373" s="9">
        <v>653</v>
      </c>
      <c r="O373" s="43">
        <f>'[8]6103HRM'!$R$10</f>
        <v>735</v>
      </c>
      <c r="P373" s="39">
        <v>167.76</v>
      </c>
      <c r="Q373" s="57">
        <f>'[7]6115REV'!$R$10</f>
        <v>227.5</v>
      </c>
    </row>
    <row r="374" spans="1:17" x14ac:dyDescent="0.25">
      <c r="A374" s="3" t="s">
        <v>275</v>
      </c>
      <c r="B374" s="3" t="s">
        <v>11</v>
      </c>
      <c r="C374" s="3" t="s">
        <v>12</v>
      </c>
      <c r="D374" s="3" t="s">
        <v>30</v>
      </c>
      <c r="E374" s="3" t="s">
        <v>251</v>
      </c>
      <c r="F374" s="3" t="s">
        <v>15</v>
      </c>
      <c r="G374" s="3" t="s">
        <v>16</v>
      </c>
      <c r="H374" s="3" t="s">
        <v>248</v>
      </c>
      <c r="I374" s="4" t="s">
        <v>18</v>
      </c>
      <c r="J374" s="4">
        <v>3</v>
      </c>
      <c r="K374" s="4"/>
      <c r="L374" s="12">
        <v>20751</v>
      </c>
      <c r="M374" s="13">
        <v>25634</v>
      </c>
      <c r="N374" s="9">
        <v>25634</v>
      </c>
      <c r="O374" s="43">
        <f>'[6]6103HRM'!$Q$10</f>
        <v>26228.795841539999</v>
      </c>
      <c r="P374" s="39">
        <v>7516.91</v>
      </c>
      <c r="Q374" s="57">
        <f>'[7]6115REV'!$Q$10</f>
        <v>4616.7833304300002</v>
      </c>
    </row>
    <row r="375" spans="1:17" x14ac:dyDescent="0.25">
      <c r="A375" s="3" t="s">
        <v>268</v>
      </c>
      <c r="B375" s="3" t="s">
        <v>11</v>
      </c>
      <c r="C375" s="3" t="s">
        <v>12</v>
      </c>
      <c r="D375" s="3" t="s">
        <v>43</v>
      </c>
      <c r="E375" s="3" t="s">
        <v>251</v>
      </c>
      <c r="F375" s="3" t="s">
        <v>15</v>
      </c>
      <c r="G375" s="3" t="s">
        <v>16</v>
      </c>
      <c r="H375" s="3" t="s">
        <v>248</v>
      </c>
      <c r="I375" s="4" t="s">
        <v>18</v>
      </c>
      <c r="J375" s="4">
        <v>3</v>
      </c>
      <c r="K375" s="4"/>
      <c r="L375" s="12">
        <v>8984</v>
      </c>
      <c r="M375" s="13">
        <v>14152</v>
      </c>
      <c r="N375" s="9">
        <v>14152</v>
      </c>
      <c r="O375" s="43">
        <f>'[6]6103HRM'!$T$10</f>
        <v>10481.52</v>
      </c>
      <c r="P375" s="39">
        <v>2676.96</v>
      </c>
      <c r="Q375" s="38" t="e">
        <f>'[7]6115REV'!$T$10</f>
        <v>#REF!</v>
      </c>
    </row>
    <row r="376" spans="1:17" x14ac:dyDescent="0.25">
      <c r="A376" s="3" t="s">
        <v>256</v>
      </c>
      <c r="B376" s="3" t="s">
        <v>11</v>
      </c>
      <c r="C376" s="3" t="s">
        <v>12</v>
      </c>
      <c r="D376" s="3" t="s">
        <v>1669</v>
      </c>
      <c r="E376" s="3" t="s">
        <v>251</v>
      </c>
      <c r="F376" s="3" t="s">
        <v>37</v>
      </c>
      <c r="G376" s="3" t="s">
        <v>16</v>
      </c>
      <c r="H376" s="3" t="s">
        <v>255</v>
      </c>
      <c r="I376" s="4" t="s">
        <v>38</v>
      </c>
      <c r="J376" s="4">
        <v>3</v>
      </c>
      <c r="K376" s="4"/>
      <c r="L376" s="12">
        <v>100000</v>
      </c>
      <c r="M376" s="13">
        <v>0</v>
      </c>
      <c r="N376" s="9">
        <v>0</v>
      </c>
      <c r="O376" s="43">
        <v>200000</v>
      </c>
      <c r="P376" s="39"/>
      <c r="Q376" s="38">
        <v>200000</v>
      </c>
    </row>
    <row r="377" spans="1:17" x14ac:dyDescent="0.25">
      <c r="A377" s="3" t="s">
        <v>243</v>
      </c>
      <c r="B377" s="3" t="s">
        <v>11</v>
      </c>
      <c r="C377" s="3" t="s">
        <v>12</v>
      </c>
      <c r="D377" s="3" t="s">
        <v>157</v>
      </c>
      <c r="E377" s="3" t="s">
        <v>216</v>
      </c>
      <c r="F377" s="3" t="s">
        <v>15</v>
      </c>
      <c r="G377" s="3" t="s">
        <v>16</v>
      </c>
      <c r="H377" s="3" t="s">
        <v>217</v>
      </c>
      <c r="I377" s="4" t="s">
        <v>18</v>
      </c>
      <c r="J377" s="4">
        <v>3</v>
      </c>
      <c r="K377" s="4"/>
      <c r="L377" s="12">
        <v>1257247</v>
      </c>
      <c r="M377" s="13">
        <v>1121390</v>
      </c>
      <c r="N377" s="9">
        <v>1121390</v>
      </c>
      <c r="O377" s="42">
        <f>'[6]6059IA'!$E$8</f>
        <v>1358202.0325319998</v>
      </c>
      <c r="P377" s="39">
        <v>351275.18</v>
      </c>
      <c r="Q377" s="57">
        <f>'[7]6115REV'!$E$8</f>
        <v>95778.334232999987</v>
      </c>
    </row>
    <row r="378" spans="1:17" x14ac:dyDescent="0.25">
      <c r="A378" s="3" t="s">
        <v>218</v>
      </c>
      <c r="B378" s="3" t="s">
        <v>11</v>
      </c>
      <c r="C378" s="3" t="s">
        <v>203</v>
      </c>
      <c r="D378" s="3" t="s">
        <v>157</v>
      </c>
      <c r="E378" s="3" t="s">
        <v>216</v>
      </c>
      <c r="F378" s="3" t="s">
        <v>37</v>
      </c>
      <c r="G378" s="3" t="s">
        <v>16</v>
      </c>
      <c r="H378" s="3" t="s">
        <v>217</v>
      </c>
      <c r="I378" s="4" t="s">
        <v>38</v>
      </c>
      <c r="J378" s="4">
        <v>1</v>
      </c>
      <c r="K378" s="4"/>
      <c r="L378" s="12">
        <v>0</v>
      </c>
      <c r="M378" s="13">
        <v>0</v>
      </c>
      <c r="N378" s="9">
        <v>0</v>
      </c>
      <c r="O378" s="39"/>
      <c r="P378" s="39"/>
      <c r="Q378" s="38"/>
    </row>
    <row r="379" spans="1:17" x14ac:dyDescent="0.25">
      <c r="A379" s="51" t="s">
        <v>1766</v>
      </c>
      <c r="B379" s="3"/>
      <c r="C379" s="3"/>
      <c r="D379" s="3" t="s">
        <v>1680</v>
      </c>
      <c r="E379" s="3"/>
      <c r="F379" s="3"/>
      <c r="G379" s="3"/>
      <c r="H379" s="3"/>
      <c r="I379" s="4"/>
      <c r="J379" s="4"/>
      <c r="K379" s="4"/>
      <c r="L379" s="12">
        <v>0</v>
      </c>
      <c r="M379" s="13">
        <v>0</v>
      </c>
      <c r="N379" s="9">
        <v>0</v>
      </c>
      <c r="O379" s="39">
        <v>10000</v>
      </c>
      <c r="P379" s="39">
        <v>0</v>
      </c>
      <c r="Q379" s="38">
        <v>10000</v>
      </c>
    </row>
    <row r="380" spans="1:17" x14ac:dyDescent="0.25">
      <c r="A380" s="3" t="s">
        <v>240</v>
      </c>
      <c r="B380" s="3" t="s">
        <v>11</v>
      </c>
      <c r="C380" s="3" t="s">
        <v>12</v>
      </c>
      <c r="D380" s="3" t="s">
        <v>153</v>
      </c>
      <c r="E380" s="3" t="s">
        <v>216</v>
      </c>
      <c r="F380" s="3" t="s">
        <v>15</v>
      </c>
      <c r="G380" s="3" t="s">
        <v>16</v>
      </c>
      <c r="H380" s="3" t="s">
        <v>217</v>
      </c>
      <c r="I380" s="4" t="s">
        <v>18</v>
      </c>
      <c r="J380" s="4">
        <v>3</v>
      </c>
      <c r="K380" s="4"/>
      <c r="L380" s="12">
        <v>104770</v>
      </c>
      <c r="M380" s="13">
        <v>86291</v>
      </c>
      <c r="N380" s="9">
        <v>86291</v>
      </c>
      <c r="O380" s="42">
        <f>'[6]6059IA'!$I$8</f>
        <v>113183.50271099998</v>
      </c>
      <c r="P380" s="39">
        <v>0</v>
      </c>
      <c r="Q380" s="38">
        <f>'[7]6115REV'!$I$8</f>
        <v>31926.111410999994</v>
      </c>
    </row>
    <row r="381" spans="1:17" x14ac:dyDescent="0.25">
      <c r="A381" s="3" t="s">
        <v>245</v>
      </c>
      <c r="B381" s="3" t="s">
        <v>11</v>
      </c>
      <c r="C381" s="3" t="s">
        <v>12</v>
      </c>
      <c r="D381" s="3" t="s">
        <v>41</v>
      </c>
      <c r="E381" s="3" t="s">
        <v>216</v>
      </c>
      <c r="F381" s="3" t="s">
        <v>15</v>
      </c>
      <c r="G381" s="3" t="s">
        <v>16</v>
      </c>
      <c r="H381" s="3" t="s">
        <v>217</v>
      </c>
      <c r="I381" s="4" t="s">
        <v>18</v>
      </c>
      <c r="J381" s="4">
        <v>3</v>
      </c>
      <c r="K381" s="4"/>
      <c r="L381" s="12">
        <v>276594</v>
      </c>
      <c r="M381" s="13">
        <v>223759</v>
      </c>
      <c r="N381" s="9">
        <v>223759</v>
      </c>
      <c r="O381" s="42">
        <f>'[6]6059IA'!$K$8</f>
        <v>298804.44715703995</v>
      </c>
      <c r="P381" s="39">
        <v>63229.53</v>
      </c>
      <c r="Q381" s="57">
        <f>'[7]6115REV'!$K$8</f>
        <v>21071.233531259997</v>
      </c>
    </row>
    <row r="382" spans="1:17" x14ac:dyDescent="0.25">
      <c r="A382" s="3" t="s">
        <v>244</v>
      </c>
      <c r="B382" s="3" t="s">
        <v>11</v>
      </c>
      <c r="C382" s="3" t="s">
        <v>12</v>
      </c>
      <c r="D382" s="3" t="s">
        <v>36</v>
      </c>
      <c r="E382" s="3" t="s">
        <v>216</v>
      </c>
      <c r="F382" s="3" t="s">
        <v>15</v>
      </c>
      <c r="G382" s="3" t="s">
        <v>16</v>
      </c>
      <c r="H382" s="3" t="s">
        <v>217</v>
      </c>
      <c r="I382" s="4" t="s">
        <v>18</v>
      </c>
      <c r="J382" s="4">
        <v>3</v>
      </c>
      <c r="K382" s="4"/>
      <c r="L382" s="12">
        <v>57564</v>
      </c>
      <c r="M382" s="13">
        <v>49143</v>
      </c>
      <c r="N382" s="9">
        <v>49143</v>
      </c>
      <c r="O382" s="39">
        <f>'[8]6059IA'!$L$8</f>
        <v>43128</v>
      </c>
      <c r="P382" s="39">
        <v>18426.599999999999</v>
      </c>
      <c r="Q382" s="57">
        <f>'[7]6115REV'!$L$8</f>
        <v>0</v>
      </c>
    </row>
    <row r="383" spans="1:17" x14ac:dyDescent="0.25">
      <c r="A383" s="3" t="s">
        <v>247</v>
      </c>
      <c r="B383" s="3" t="s">
        <v>11</v>
      </c>
      <c r="C383" s="3" t="s">
        <v>12</v>
      </c>
      <c r="D383" s="3" t="s">
        <v>47</v>
      </c>
      <c r="E383" s="3" t="s">
        <v>216</v>
      </c>
      <c r="F383" s="3" t="s">
        <v>15</v>
      </c>
      <c r="G383" s="3" t="s">
        <v>16</v>
      </c>
      <c r="H383" s="3" t="s">
        <v>217</v>
      </c>
      <c r="I383" s="4" t="s">
        <v>18</v>
      </c>
      <c r="J383" s="4">
        <v>3</v>
      </c>
      <c r="K383" s="4"/>
      <c r="L383" s="12">
        <v>346830</v>
      </c>
      <c r="M383" s="13">
        <v>381515</v>
      </c>
      <c r="N383" s="9">
        <v>381515</v>
      </c>
      <c r="O383" s="39">
        <f>'[8]6059IA'!$M$8</f>
        <v>370974.71999999997</v>
      </c>
      <c r="P383" s="39">
        <v>133675.56</v>
      </c>
      <c r="Q383" s="38">
        <f>'[7]6115REV'!$M$8</f>
        <v>0</v>
      </c>
    </row>
    <row r="384" spans="1:17" x14ac:dyDescent="0.25">
      <c r="A384" s="3" t="s">
        <v>231</v>
      </c>
      <c r="B384" s="3" t="s">
        <v>11</v>
      </c>
      <c r="C384" s="3" t="s">
        <v>12</v>
      </c>
      <c r="D384" s="3" t="s">
        <v>45</v>
      </c>
      <c r="E384" s="3" t="s">
        <v>216</v>
      </c>
      <c r="F384" s="3" t="s">
        <v>37</v>
      </c>
      <c r="G384" s="3" t="s">
        <v>16</v>
      </c>
      <c r="H384" s="3" t="s">
        <v>217</v>
      </c>
      <c r="I384" s="4" t="s">
        <v>38</v>
      </c>
      <c r="J384" s="4">
        <v>3</v>
      </c>
      <c r="K384" s="4"/>
      <c r="L384" s="12">
        <v>8000</v>
      </c>
      <c r="M384" s="13">
        <v>8900</v>
      </c>
      <c r="N384" s="9">
        <v>8900</v>
      </c>
      <c r="O384" s="39">
        <f>'[8]6059IA'!$N$8</f>
        <v>12000</v>
      </c>
      <c r="P384" s="39">
        <v>3195</v>
      </c>
      <c r="Q384" s="38">
        <f>'[7]6115REV'!$N$8</f>
        <v>2274</v>
      </c>
    </row>
    <row r="385" spans="1:17" x14ac:dyDescent="0.25">
      <c r="A385" s="3" t="s">
        <v>239</v>
      </c>
      <c r="B385" s="3" t="s">
        <v>11</v>
      </c>
      <c r="C385" s="3" t="s">
        <v>12</v>
      </c>
      <c r="D385" s="3" t="s">
        <v>156</v>
      </c>
      <c r="E385" s="3" t="s">
        <v>216</v>
      </c>
      <c r="F385" s="3" t="s">
        <v>15</v>
      </c>
      <c r="G385" s="3" t="s">
        <v>16</v>
      </c>
      <c r="H385" s="3" t="s">
        <v>217</v>
      </c>
      <c r="I385" s="4" t="s">
        <v>18</v>
      </c>
      <c r="J385" s="4">
        <v>3</v>
      </c>
      <c r="K385" s="4"/>
      <c r="L385" s="12">
        <v>9559</v>
      </c>
      <c r="M385" s="13">
        <v>9894</v>
      </c>
      <c r="N385" s="9">
        <v>9894</v>
      </c>
      <c r="O385" s="42">
        <f>'[6]6059IA'!$P$8</f>
        <v>10893.24</v>
      </c>
      <c r="P385" s="39">
        <v>2723.31</v>
      </c>
      <c r="Q385" s="38">
        <f>'[7]6115REV'!$P$8</f>
        <v>0</v>
      </c>
    </row>
    <row r="386" spans="1:17" x14ac:dyDescent="0.25">
      <c r="A386" s="3" t="s">
        <v>219</v>
      </c>
      <c r="B386" s="3" t="s">
        <v>11</v>
      </c>
      <c r="C386" s="3" t="s">
        <v>12</v>
      </c>
      <c r="D386" s="3" t="s">
        <v>151</v>
      </c>
      <c r="E386" s="3" t="s">
        <v>216</v>
      </c>
      <c r="F386" s="3" t="s">
        <v>15</v>
      </c>
      <c r="G386" s="3" t="s">
        <v>16</v>
      </c>
      <c r="H386" s="3" t="s">
        <v>217</v>
      </c>
      <c r="I386" s="4" t="s">
        <v>18</v>
      </c>
      <c r="J386" s="4">
        <v>3</v>
      </c>
      <c r="K386" s="4"/>
      <c r="L386" s="12">
        <v>297</v>
      </c>
      <c r="M386" s="13">
        <v>270</v>
      </c>
      <c r="N386" s="9">
        <v>270</v>
      </c>
      <c r="O386" s="39">
        <f>'[8]6059IA'!$R$8</f>
        <v>315</v>
      </c>
      <c r="P386" s="39">
        <v>83.88</v>
      </c>
      <c r="Q386" s="57">
        <f>'[7]6115REV'!$R$8</f>
        <v>26.25</v>
      </c>
    </row>
    <row r="387" spans="1:17" x14ac:dyDescent="0.25">
      <c r="A387" s="3" t="s">
        <v>236</v>
      </c>
      <c r="B387" s="3" t="s">
        <v>11</v>
      </c>
      <c r="C387" s="3" t="s">
        <v>12</v>
      </c>
      <c r="D387" s="3" t="s">
        <v>204</v>
      </c>
      <c r="E387" s="3" t="s">
        <v>216</v>
      </c>
      <c r="F387" s="3" t="s">
        <v>37</v>
      </c>
      <c r="G387" s="3" t="s">
        <v>16</v>
      </c>
      <c r="H387" s="3" t="s">
        <v>217</v>
      </c>
      <c r="I387" s="4" t="s">
        <v>38</v>
      </c>
      <c r="J387" s="4">
        <v>1</v>
      </c>
      <c r="K387" s="4"/>
      <c r="L387" s="12">
        <v>0</v>
      </c>
      <c r="M387" s="13">
        <v>0</v>
      </c>
      <c r="N387" s="9">
        <v>0</v>
      </c>
      <c r="O387" s="39"/>
      <c r="P387" s="39"/>
      <c r="Q387" s="38"/>
    </row>
    <row r="388" spans="1:17" x14ac:dyDescent="0.25">
      <c r="A388" s="3" t="s">
        <v>246</v>
      </c>
      <c r="B388" s="3" t="s">
        <v>11</v>
      </c>
      <c r="C388" s="3" t="s">
        <v>12</v>
      </c>
      <c r="D388" s="3" t="s">
        <v>30</v>
      </c>
      <c r="E388" s="3" t="s">
        <v>216</v>
      </c>
      <c r="F388" s="3" t="s">
        <v>15</v>
      </c>
      <c r="G388" s="3" t="s">
        <v>16</v>
      </c>
      <c r="H388" s="3" t="s">
        <v>217</v>
      </c>
      <c r="I388" s="4" t="s">
        <v>18</v>
      </c>
      <c r="J388" s="4">
        <v>3</v>
      </c>
      <c r="K388" s="4"/>
      <c r="L388" s="12">
        <v>12572</v>
      </c>
      <c r="M388" s="13">
        <v>11960</v>
      </c>
      <c r="N388" s="9">
        <v>11960</v>
      </c>
      <c r="O388" s="42">
        <f>'[6]6059IA'!$Q$8</f>
        <v>13582.020325319998</v>
      </c>
      <c r="P388" s="39">
        <v>4562.9799999999996</v>
      </c>
      <c r="Q388" s="57">
        <f>'[7]6115REV'!$Q$8</f>
        <v>957.78334232999987</v>
      </c>
    </row>
    <row r="389" spans="1:17" x14ac:dyDescent="0.25">
      <c r="A389" s="3" t="s">
        <v>220</v>
      </c>
      <c r="B389" s="3" t="s">
        <v>11</v>
      </c>
      <c r="C389" s="3" t="s">
        <v>12</v>
      </c>
      <c r="D389" s="3" t="s">
        <v>43</v>
      </c>
      <c r="E389" s="3" t="s">
        <v>216</v>
      </c>
      <c r="F389" s="3" t="s">
        <v>15</v>
      </c>
      <c r="G389" s="3" t="s">
        <v>16</v>
      </c>
      <c r="H389" s="3" t="s">
        <v>217</v>
      </c>
      <c r="I389" s="4" t="s">
        <v>18</v>
      </c>
      <c r="J389" s="4">
        <v>3</v>
      </c>
      <c r="K389" s="4"/>
      <c r="L389" s="12">
        <v>4492</v>
      </c>
      <c r="M389" s="13">
        <v>6274</v>
      </c>
      <c r="N389" s="9">
        <v>6274</v>
      </c>
      <c r="O389" s="42">
        <f>'[6]6059IA'!$T$8</f>
        <v>4492.08</v>
      </c>
      <c r="P389" s="39">
        <v>1338.48</v>
      </c>
      <c r="Q389" s="57">
        <f>'[7]6115REV'!$T$8</f>
        <v>957.78334232999987</v>
      </c>
    </row>
    <row r="390" spans="1:17" x14ac:dyDescent="0.25">
      <c r="A390" s="3" t="s">
        <v>177</v>
      </c>
      <c r="B390" s="3" t="s">
        <v>11</v>
      </c>
      <c r="C390" s="3" t="s">
        <v>12</v>
      </c>
      <c r="D390" s="3" t="s">
        <v>157</v>
      </c>
      <c r="E390" s="3" t="s">
        <v>178</v>
      </c>
      <c r="F390" s="3" t="s">
        <v>15</v>
      </c>
      <c r="G390" s="3" t="s">
        <v>16</v>
      </c>
      <c r="H390" s="3" t="s">
        <v>179</v>
      </c>
      <c r="I390" s="4" t="s">
        <v>18</v>
      </c>
      <c r="J390" s="4">
        <v>3</v>
      </c>
      <c r="K390" s="4"/>
      <c r="L390" s="12">
        <v>6900860</v>
      </c>
      <c r="M390" s="13">
        <v>5422594</v>
      </c>
      <c r="N390" s="9">
        <v>5422594</v>
      </c>
      <c r="O390" s="43">
        <f>'[6]6057MGTOTHER'!$E$29</f>
        <v>7211208.7617479991</v>
      </c>
      <c r="P390" s="39">
        <v>1049360.04</v>
      </c>
      <c r="Q390" s="57">
        <f>'[7]6115REV'!$E$28</f>
        <v>0</v>
      </c>
    </row>
    <row r="391" spans="1:17" x14ac:dyDescent="0.25">
      <c r="A391" s="3" t="s">
        <v>207</v>
      </c>
      <c r="B391" s="3" t="s">
        <v>11</v>
      </c>
      <c r="C391" s="3" t="s">
        <v>203</v>
      </c>
      <c r="D391" s="3" t="s">
        <v>157</v>
      </c>
      <c r="E391" s="3" t="s">
        <v>178</v>
      </c>
      <c r="F391" s="3" t="s">
        <v>37</v>
      </c>
      <c r="G391" s="3" t="s">
        <v>16</v>
      </c>
      <c r="H391" s="3" t="s">
        <v>181</v>
      </c>
      <c r="I391" s="4" t="s">
        <v>38</v>
      </c>
      <c r="J391" s="4">
        <v>1</v>
      </c>
      <c r="K391" s="4"/>
      <c r="L391" s="12">
        <v>0</v>
      </c>
      <c r="M391" s="13">
        <v>0</v>
      </c>
      <c r="N391" s="9">
        <v>0</v>
      </c>
      <c r="O391" s="43"/>
      <c r="P391" s="39"/>
      <c r="Q391" s="38"/>
    </row>
    <row r="392" spans="1:17" x14ac:dyDescent="0.25">
      <c r="A392" s="3" t="s">
        <v>180</v>
      </c>
      <c r="B392" s="3" t="s">
        <v>11</v>
      </c>
      <c r="C392" s="3" t="s">
        <v>12</v>
      </c>
      <c r="D392" s="3" t="s">
        <v>86</v>
      </c>
      <c r="E392" s="3" t="s">
        <v>178</v>
      </c>
      <c r="F392" s="3" t="s">
        <v>37</v>
      </c>
      <c r="G392" s="3" t="s">
        <v>16</v>
      </c>
      <c r="H392" s="3" t="s">
        <v>181</v>
      </c>
      <c r="I392" s="4" t="s">
        <v>38</v>
      </c>
      <c r="J392" s="4">
        <v>1</v>
      </c>
      <c r="K392" s="4"/>
      <c r="L392" s="12">
        <v>0</v>
      </c>
      <c r="M392" s="13">
        <v>0</v>
      </c>
      <c r="N392" s="9">
        <v>0</v>
      </c>
      <c r="O392" s="43"/>
      <c r="P392" s="39"/>
      <c r="Q392" s="38"/>
    </row>
    <row r="393" spans="1:17" x14ac:dyDescent="0.25">
      <c r="A393" s="59" t="s">
        <v>1812</v>
      </c>
      <c r="B393" s="3"/>
      <c r="C393" s="3"/>
      <c r="D393" s="3" t="s">
        <v>249</v>
      </c>
      <c r="E393" s="3"/>
      <c r="F393" s="3"/>
      <c r="G393" s="3"/>
      <c r="H393" s="3"/>
      <c r="I393" s="4"/>
      <c r="J393" s="4"/>
      <c r="K393" s="4"/>
      <c r="L393" s="12"/>
      <c r="M393" s="13"/>
      <c r="N393" s="9"/>
      <c r="O393" s="43">
        <v>0</v>
      </c>
      <c r="P393" s="39">
        <v>6564.84</v>
      </c>
      <c r="Q393" s="57">
        <f>'[7]6115REV'!$G$28</f>
        <v>0</v>
      </c>
    </row>
    <row r="394" spans="1:17" x14ac:dyDescent="0.25">
      <c r="A394" s="3" t="s">
        <v>182</v>
      </c>
      <c r="B394" s="3" t="s">
        <v>11</v>
      </c>
      <c r="C394" s="3" t="s">
        <v>12</v>
      </c>
      <c r="D394" s="3" t="s">
        <v>1630</v>
      </c>
      <c r="E394" s="3" t="s">
        <v>178</v>
      </c>
      <c r="F394" s="3" t="s">
        <v>15</v>
      </c>
      <c r="G394" s="3" t="s">
        <v>16</v>
      </c>
      <c r="H394" s="3" t="s">
        <v>179</v>
      </c>
      <c r="I394" s="4" t="s">
        <v>18</v>
      </c>
      <c r="J394" s="4">
        <v>3</v>
      </c>
      <c r="K394" s="4"/>
      <c r="L394" s="12">
        <v>60000</v>
      </c>
      <c r="M394" s="13">
        <v>120000</v>
      </c>
      <c r="N394" s="9">
        <v>120000</v>
      </c>
      <c r="O394" s="43">
        <v>60000</v>
      </c>
      <c r="P394" s="39">
        <v>56319.09</v>
      </c>
      <c r="Q394" s="38">
        <v>60000</v>
      </c>
    </row>
    <row r="395" spans="1:17" x14ac:dyDescent="0.25">
      <c r="A395" s="3" t="s">
        <v>208</v>
      </c>
      <c r="B395" s="3" t="s">
        <v>11</v>
      </c>
      <c r="C395" s="3" t="s">
        <v>12</v>
      </c>
      <c r="D395" s="3" t="s">
        <v>153</v>
      </c>
      <c r="E395" s="3" t="s">
        <v>178</v>
      </c>
      <c r="F395" s="3" t="s">
        <v>15</v>
      </c>
      <c r="G395" s="3" t="s">
        <v>16</v>
      </c>
      <c r="H395" s="3" t="s">
        <v>179</v>
      </c>
      <c r="I395" s="4" t="s">
        <v>18</v>
      </c>
      <c r="J395" s="4">
        <v>3</v>
      </c>
      <c r="K395" s="4"/>
      <c r="L395" s="12">
        <v>573295.57999999996</v>
      </c>
      <c r="M395" s="13">
        <v>420266</v>
      </c>
      <c r="N395" s="9">
        <v>420266</v>
      </c>
      <c r="O395" s="43">
        <f>'[6]6057MGTOTHER'!$I$29</f>
        <v>600934.06347899989</v>
      </c>
      <c r="P395" s="39">
        <v>206336.55</v>
      </c>
      <c r="Q395" s="57">
        <f>'[7]6115REV'!$I$28</f>
        <v>0</v>
      </c>
    </row>
    <row r="396" spans="1:17" x14ac:dyDescent="0.25">
      <c r="A396" s="3" t="s">
        <v>206</v>
      </c>
      <c r="B396" s="3" t="s">
        <v>11</v>
      </c>
      <c r="C396" s="3" t="s">
        <v>203</v>
      </c>
      <c r="D396" s="3" t="s">
        <v>153</v>
      </c>
      <c r="E396" s="3" t="s">
        <v>178</v>
      </c>
      <c r="F396" s="3" t="s">
        <v>37</v>
      </c>
      <c r="G396" s="3" t="s">
        <v>16</v>
      </c>
      <c r="H396" s="3" t="s">
        <v>181</v>
      </c>
      <c r="I396" s="4" t="s">
        <v>38</v>
      </c>
      <c r="J396" s="4">
        <v>1</v>
      </c>
      <c r="K396" s="4"/>
      <c r="L396" s="12">
        <v>0</v>
      </c>
      <c r="M396" s="13">
        <v>0</v>
      </c>
      <c r="N396" s="9">
        <v>0</v>
      </c>
      <c r="O396" s="43"/>
      <c r="P396" s="39"/>
      <c r="Q396" s="38"/>
    </row>
    <row r="397" spans="1:17" x14ac:dyDescent="0.25">
      <c r="A397" s="3" t="s">
        <v>183</v>
      </c>
      <c r="B397" s="3" t="s">
        <v>11</v>
      </c>
      <c r="C397" s="3" t="s">
        <v>12</v>
      </c>
      <c r="D397" s="3" t="s">
        <v>184</v>
      </c>
      <c r="E397" s="3" t="s">
        <v>178</v>
      </c>
      <c r="F397" s="3" t="s">
        <v>15</v>
      </c>
      <c r="G397" s="3" t="s">
        <v>16</v>
      </c>
      <c r="H397" s="3" t="s">
        <v>179</v>
      </c>
      <c r="I397" s="4" t="s">
        <v>18</v>
      </c>
      <c r="J397" s="4">
        <v>3</v>
      </c>
      <c r="K397" s="4"/>
      <c r="L397" s="12">
        <v>33384</v>
      </c>
      <c r="M397" s="13">
        <v>74068</v>
      </c>
      <c r="N397" s="9">
        <v>74068</v>
      </c>
      <c r="O397" s="43">
        <f>'[6]6057MGTOTHER'!$J$29</f>
        <v>13727.73</v>
      </c>
      <c r="P397" s="39"/>
      <c r="Q397" s="38">
        <f>'[7]6115REV'!$J$28</f>
        <v>0</v>
      </c>
    </row>
    <row r="398" spans="1:17" x14ac:dyDescent="0.25">
      <c r="A398" s="3" t="s">
        <v>185</v>
      </c>
      <c r="B398" s="3" t="s">
        <v>11</v>
      </c>
      <c r="C398" s="3" t="s">
        <v>12</v>
      </c>
      <c r="D398" s="3" t="s">
        <v>41</v>
      </c>
      <c r="E398" s="3" t="s">
        <v>178</v>
      </c>
      <c r="F398" s="3" t="s">
        <v>15</v>
      </c>
      <c r="G398" s="3" t="s">
        <v>16</v>
      </c>
      <c r="H398" s="3" t="s">
        <v>179</v>
      </c>
      <c r="I398" s="4" t="s">
        <v>18</v>
      </c>
      <c r="J398" s="4">
        <v>3</v>
      </c>
      <c r="K398" s="4"/>
      <c r="L398" s="12">
        <v>1496365.98</v>
      </c>
      <c r="M398" s="13">
        <v>1126786</v>
      </c>
      <c r="N398" s="9">
        <v>1126786</v>
      </c>
      <c r="O398" s="43">
        <f>'[6]6057MGTOTHER'!$K$29</f>
        <v>1586465.9275845601</v>
      </c>
      <c r="P398" s="39">
        <v>202346.25</v>
      </c>
      <c r="Q398" s="57">
        <f>'[7]6115REV'!$K$28</f>
        <v>0</v>
      </c>
    </row>
    <row r="399" spans="1:17" x14ac:dyDescent="0.25">
      <c r="A399" s="3" t="s">
        <v>186</v>
      </c>
      <c r="B399" s="3" t="s">
        <v>11</v>
      </c>
      <c r="C399" s="3" t="s">
        <v>12</v>
      </c>
      <c r="D399" s="3" t="s">
        <v>36</v>
      </c>
      <c r="E399" s="3" t="s">
        <v>178</v>
      </c>
      <c r="F399" s="3" t="s">
        <v>15</v>
      </c>
      <c r="G399" s="3" t="s">
        <v>16</v>
      </c>
      <c r="H399" s="3" t="s">
        <v>179</v>
      </c>
      <c r="I399" s="4" t="s">
        <v>18</v>
      </c>
      <c r="J399" s="4">
        <v>3</v>
      </c>
      <c r="K399" s="4"/>
      <c r="L399" s="12">
        <v>334243.20000000001</v>
      </c>
      <c r="M399" s="13">
        <v>403582</v>
      </c>
      <c r="N399" s="9">
        <v>403582</v>
      </c>
      <c r="O399" s="43">
        <f>'[6]6057MGTOTHER'!$L$29</f>
        <v>380796</v>
      </c>
      <c r="P399" s="39">
        <v>71969.850000000006</v>
      </c>
      <c r="Q399" s="38">
        <f>'[7]6115REV'!$L$28</f>
        <v>0</v>
      </c>
    </row>
    <row r="400" spans="1:17" x14ac:dyDescent="0.25">
      <c r="A400" s="3" t="s">
        <v>187</v>
      </c>
      <c r="B400" s="3" t="s">
        <v>11</v>
      </c>
      <c r="C400" s="3" t="s">
        <v>12</v>
      </c>
      <c r="D400" s="3" t="s">
        <v>47</v>
      </c>
      <c r="E400" s="3" t="s">
        <v>178</v>
      </c>
      <c r="F400" s="3" t="s">
        <v>15</v>
      </c>
      <c r="G400" s="3" t="s">
        <v>16</v>
      </c>
      <c r="H400" s="3" t="s">
        <v>179</v>
      </c>
      <c r="I400" s="4" t="s">
        <v>18</v>
      </c>
      <c r="J400" s="4">
        <v>3</v>
      </c>
      <c r="K400" s="4"/>
      <c r="L400" s="12">
        <v>1180295</v>
      </c>
      <c r="M400" s="13">
        <v>1055483</v>
      </c>
      <c r="N400" s="9">
        <v>1055483</v>
      </c>
      <c r="O400" s="43">
        <f>'[6]6057MGTOTHER'!$M$29</f>
        <v>1274104.4399999997</v>
      </c>
      <c r="P400" s="39">
        <v>194395.35</v>
      </c>
      <c r="Q400" s="57">
        <f>'[7]6115REV'!$M$28</f>
        <v>0</v>
      </c>
    </row>
    <row r="401" spans="1:17" x14ac:dyDescent="0.25">
      <c r="A401" s="3" t="s">
        <v>212</v>
      </c>
      <c r="B401" s="3" t="s">
        <v>11</v>
      </c>
      <c r="C401" s="3" t="s">
        <v>12</v>
      </c>
      <c r="D401" s="3" t="s">
        <v>45</v>
      </c>
      <c r="E401" s="3" t="s">
        <v>178</v>
      </c>
      <c r="F401" s="3" t="s">
        <v>37</v>
      </c>
      <c r="G401" s="3" t="s">
        <v>16</v>
      </c>
      <c r="H401" s="3" t="s">
        <v>181</v>
      </c>
      <c r="I401" s="4" t="s">
        <v>38</v>
      </c>
      <c r="J401" s="4">
        <v>3</v>
      </c>
      <c r="K401" s="4"/>
      <c r="L401" s="12">
        <v>113856</v>
      </c>
      <c r="M401" s="13">
        <v>101914</v>
      </c>
      <c r="N401" s="9">
        <v>101914</v>
      </c>
      <c r="O401" s="43">
        <f>'[6]6057MGTOTHER'!$N$29</f>
        <v>161688</v>
      </c>
      <c r="P401" s="39">
        <v>25930.62</v>
      </c>
      <c r="Q401" s="57">
        <f>'[7]6115REV'!$N$28</f>
        <v>0</v>
      </c>
    </row>
    <row r="402" spans="1:17" x14ac:dyDescent="0.25">
      <c r="A402" s="3" t="s">
        <v>214</v>
      </c>
      <c r="B402" s="3" t="s">
        <v>11</v>
      </c>
      <c r="C402" s="3" t="s">
        <v>12</v>
      </c>
      <c r="D402" s="3" t="s">
        <v>215</v>
      </c>
      <c r="E402" s="3" t="s">
        <v>178</v>
      </c>
      <c r="F402" s="3" t="s">
        <v>37</v>
      </c>
      <c r="G402" s="3" t="s">
        <v>16</v>
      </c>
      <c r="H402" s="3" t="s">
        <v>181</v>
      </c>
      <c r="I402" s="4" t="s">
        <v>38</v>
      </c>
      <c r="J402" s="4">
        <v>1</v>
      </c>
      <c r="K402" s="4"/>
      <c r="L402" s="12">
        <v>10000</v>
      </c>
      <c r="M402" s="13">
        <v>10000</v>
      </c>
      <c r="N402" s="9">
        <v>10000</v>
      </c>
      <c r="O402" s="43">
        <f>'[6]6057MGTOTHER'!$O$29</f>
        <v>10000</v>
      </c>
      <c r="P402" s="39">
        <v>5000</v>
      </c>
      <c r="Q402" s="38">
        <f>'[7]6115REV'!$O$28</f>
        <v>0</v>
      </c>
    </row>
    <row r="403" spans="1:17" x14ac:dyDescent="0.25">
      <c r="A403" s="3" t="s">
        <v>189</v>
      </c>
      <c r="B403" s="3" t="s">
        <v>11</v>
      </c>
      <c r="C403" s="3" t="s">
        <v>12</v>
      </c>
      <c r="D403" s="3" t="s">
        <v>156</v>
      </c>
      <c r="E403" s="3" t="s">
        <v>178</v>
      </c>
      <c r="F403" s="3" t="s">
        <v>15</v>
      </c>
      <c r="G403" s="3" t="s">
        <v>16</v>
      </c>
      <c r="H403" s="3" t="s">
        <v>179</v>
      </c>
      <c r="I403" s="4" t="s">
        <v>18</v>
      </c>
      <c r="J403" s="4">
        <v>3</v>
      </c>
      <c r="K403" s="4"/>
      <c r="L403" s="12">
        <v>19119</v>
      </c>
      <c r="M403" s="13">
        <v>20234</v>
      </c>
      <c r="N403" s="9">
        <v>20234</v>
      </c>
      <c r="O403" s="43">
        <f>'[6]6057MGTOTHER'!$P$29</f>
        <v>21786.48</v>
      </c>
      <c r="P403" s="39">
        <v>2723.31</v>
      </c>
      <c r="Q403" s="38">
        <f>'[7]6115REV'!$P$28</f>
        <v>0</v>
      </c>
    </row>
    <row r="404" spans="1:17" x14ac:dyDescent="0.25">
      <c r="A404" s="3" t="s">
        <v>190</v>
      </c>
      <c r="B404" s="3" t="s">
        <v>11</v>
      </c>
      <c r="C404" s="3" t="s">
        <v>12</v>
      </c>
      <c r="D404" s="3" t="s">
        <v>151</v>
      </c>
      <c r="E404" s="3" t="s">
        <v>178</v>
      </c>
      <c r="F404" s="3" t="s">
        <v>15</v>
      </c>
      <c r="G404" s="3" t="s">
        <v>16</v>
      </c>
      <c r="H404" s="3" t="s">
        <v>179</v>
      </c>
      <c r="I404" s="4" t="s">
        <v>18</v>
      </c>
      <c r="J404" s="4">
        <v>3</v>
      </c>
      <c r="K404" s="4"/>
      <c r="L404" s="12">
        <v>2475</v>
      </c>
      <c r="M404" s="13">
        <v>1918</v>
      </c>
      <c r="N404" s="9">
        <v>1918</v>
      </c>
      <c r="O404" s="43">
        <f>'[6]6057MGTOTHER'!$R$29</f>
        <v>2520</v>
      </c>
      <c r="P404" s="39">
        <v>363.48</v>
      </c>
      <c r="Q404" s="57">
        <f>'[7]6115REV'!$R$28</f>
        <v>0</v>
      </c>
    </row>
    <row r="405" spans="1:17" x14ac:dyDescent="0.25">
      <c r="A405" s="3" t="s">
        <v>202</v>
      </c>
      <c r="B405" s="3" t="s">
        <v>11</v>
      </c>
      <c r="C405" s="3" t="s">
        <v>203</v>
      </c>
      <c r="D405" s="3" t="s">
        <v>204</v>
      </c>
      <c r="E405" s="3" t="s">
        <v>178</v>
      </c>
      <c r="F405" s="3" t="s">
        <v>37</v>
      </c>
      <c r="G405" s="3" t="s">
        <v>16</v>
      </c>
      <c r="H405" s="3" t="s">
        <v>181</v>
      </c>
      <c r="I405" s="4" t="s">
        <v>38</v>
      </c>
      <c r="J405" s="4">
        <v>1</v>
      </c>
      <c r="K405" s="4"/>
      <c r="L405" s="12">
        <v>0</v>
      </c>
      <c r="M405" s="13">
        <v>0</v>
      </c>
      <c r="N405" s="9">
        <v>0</v>
      </c>
      <c r="O405" s="39"/>
      <c r="P405" s="39"/>
      <c r="Q405" s="38"/>
    </row>
    <row r="406" spans="1:17" x14ac:dyDescent="0.25">
      <c r="A406" s="3" t="s">
        <v>191</v>
      </c>
      <c r="B406" s="3" t="s">
        <v>11</v>
      </c>
      <c r="C406" s="3" t="s">
        <v>12</v>
      </c>
      <c r="D406" s="3" t="s">
        <v>30</v>
      </c>
      <c r="E406" s="3" t="s">
        <v>178</v>
      </c>
      <c r="F406" s="3" t="s">
        <v>15</v>
      </c>
      <c r="G406" s="3" t="s">
        <v>16</v>
      </c>
      <c r="H406" s="3" t="s">
        <v>179</v>
      </c>
      <c r="I406" s="4" t="s">
        <v>18</v>
      </c>
      <c r="J406" s="4">
        <v>3</v>
      </c>
      <c r="K406" s="4"/>
      <c r="L406" s="12">
        <v>68463.100000000006</v>
      </c>
      <c r="M406" s="13">
        <v>62434</v>
      </c>
      <c r="N406" s="9">
        <v>62434</v>
      </c>
      <c r="O406" s="43">
        <f>'[6]6057MGTOTHER'!$Q$29</f>
        <v>72112.087617479992</v>
      </c>
      <c r="P406" s="39">
        <v>15029.14</v>
      </c>
      <c r="Q406" s="57">
        <f>'[7]6115REV'!$Q$28</f>
        <v>0</v>
      </c>
    </row>
    <row r="407" spans="1:17" x14ac:dyDescent="0.25">
      <c r="A407" s="3" t="s">
        <v>213</v>
      </c>
      <c r="B407" s="3" t="s">
        <v>11</v>
      </c>
      <c r="C407" s="3" t="s">
        <v>12</v>
      </c>
      <c r="D407" s="3" t="s">
        <v>162</v>
      </c>
      <c r="E407" s="3" t="s">
        <v>178</v>
      </c>
      <c r="F407" s="3" t="s">
        <v>37</v>
      </c>
      <c r="G407" s="3" t="s">
        <v>16</v>
      </c>
      <c r="H407" s="3" t="s">
        <v>181</v>
      </c>
      <c r="I407" s="4" t="s">
        <v>38</v>
      </c>
      <c r="J407" s="4">
        <v>1</v>
      </c>
      <c r="K407" s="4"/>
      <c r="L407" s="12">
        <v>0</v>
      </c>
      <c r="M407" s="13">
        <v>0</v>
      </c>
      <c r="N407" s="9">
        <v>0</v>
      </c>
      <c r="O407" s="43"/>
      <c r="P407" s="39"/>
      <c r="Q407" s="38"/>
    </row>
    <row r="408" spans="1:17" x14ac:dyDescent="0.25">
      <c r="A408" s="3" t="s">
        <v>192</v>
      </c>
      <c r="B408" s="3" t="s">
        <v>11</v>
      </c>
      <c r="C408" s="3" t="s">
        <v>12</v>
      </c>
      <c r="D408" s="3" t="s">
        <v>193</v>
      </c>
      <c r="E408" s="3" t="s">
        <v>178</v>
      </c>
      <c r="F408" s="3" t="s">
        <v>37</v>
      </c>
      <c r="G408" s="3" t="s">
        <v>16</v>
      </c>
      <c r="H408" s="3" t="s">
        <v>181</v>
      </c>
      <c r="I408" s="4" t="s">
        <v>38</v>
      </c>
      <c r="J408" s="4">
        <v>1</v>
      </c>
      <c r="K408" s="4"/>
      <c r="L408" s="12">
        <v>0</v>
      </c>
      <c r="M408" s="13">
        <v>0</v>
      </c>
      <c r="N408" s="9">
        <v>0</v>
      </c>
      <c r="O408" s="43">
        <f>'[6]6057MGTOTHER'!$S$29</f>
        <v>41875.68</v>
      </c>
      <c r="P408" s="39">
        <v>0</v>
      </c>
      <c r="Q408" s="38">
        <f>'[7]6115REV'!$S$28</f>
        <v>0</v>
      </c>
    </row>
    <row r="409" spans="1:17" x14ac:dyDescent="0.25">
      <c r="A409" s="3" t="s">
        <v>194</v>
      </c>
      <c r="B409" s="3" t="s">
        <v>11</v>
      </c>
      <c r="C409" s="3" t="s">
        <v>12</v>
      </c>
      <c r="D409" s="3" t="s">
        <v>43</v>
      </c>
      <c r="E409" s="3" t="s">
        <v>178</v>
      </c>
      <c r="F409" s="3" t="s">
        <v>15</v>
      </c>
      <c r="G409" s="3" t="s">
        <v>16</v>
      </c>
      <c r="H409" s="3" t="s">
        <v>179</v>
      </c>
      <c r="I409" s="4" t="s">
        <v>18</v>
      </c>
      <c r="J409" s="4">
        <v>3</v>
      </c>
      <c r="K409" s="4"/>
      <c r="L409" s="12">
        <v>35664.57</v>
      </c>
      <c r="M409" s="13">
        <v>39209</v>
      </c>
      <c r="N409" s="9">
        <v>39209</v>
      </c>
      <c r="O409" s="43">
        <f>'[6]6057MGTOTHER'!$T$29</f>
        <v>35906.786952000009</v>
      </c>
      <c r="P409" s="39">
        <v>5800.08</v>
      </c>
      <c r="Q409" s="57">
        <f>'[7]6115REV'!$T$28</f>
        <v>0</v>
      </c>
    </row>
    <row r="410" spans="1:17" x14ac:dyDescent="0.25">
      <c r="A410" s="3" t="s">
        <v>205</v>
      </c>
      <c r="B410" s="3" t="s">
        <v>11</v>
      </c>
      <c r="C410" s="3" t="s">
        <v>203</v>
      </c>
      <c r="D410" s="3" t="s">
        <v>43</v>
      </c>
      <c r="E410" s="3" t="s">
        <v>178</v>
      </c>
      <c r="F410" s="3" t="s">
        <v>37</v>
      </c>
      <c r="G410" s="3" t="s">
        <v>16</v>
      </c>
      <c r="H410" s="3" t="s">
        <v>181</v>
      </c>
      <c r="I410" s="4" t="s">
        <v>38</v>
      </c>
      <c r="J410" s="4">
        <v>1</v>
      </c>
      <c r="K410" s="4"/>
      <c r="L410" s="12">
        <v>0</v>
      </c>
      <c r="M410" s="13">
        <v>0</v>
      </c>
      <c r="N410" s="9">
        <v>0</v>
      </c>
      <c r="O410" s="39"/>
      <c r="P410" s="39"/>
      <c r="Q410" s="38"/>
    </row>
    <row r="411" spans="1:17" x14ac:dyDescent="0.25">
      <c r="A411" s="3" t="s">
        <v>163</v>
      </c>
      <c r="B411" s="3" t="s">
        <v>11</v>
      </c>
      <c r="C411" s="3" t="s">
        <v>142</v>
      </c>
      <c r="D411" s="3" t="s">
        <v>157</v>
      </c>
      <c r="E411" s="3" t="s">
        <v>143</v>
      </c>
      <c r="F411" s="3" t="s">
        <v>15</v>
      </c>
      <c r="G411" s="3" t="s">
        <v>16</v>
      </c>
      <c r="H411" s="3" t="s">
        <v>144</v>
      </c>
      <c r="I411" s="4" t="s">
        <v>18</v>
      </c>
      <c r="J411" s="4">
        <v>3</v>
      </c>
      <c r="K411" s="4"/>
      <c r="L411" s="12">
        <v>1554694</v>
      </c>
      <c r="M411" s="13">
        <v>1537578</v>
      </c>
      <c r="N411" s="9">
        <v>1537578</v>
      </c>
      <c r="O411" s="43">
        <f>'[6]6055PMU'!$E$3+'[6]6055PMU'!$E$4+'[6]6055PMU'!$E$5+'[6]6055PMU'!$E$6+'[6]6055PMU'!$E$7+'[6]6055PMU'!$E$8</f>
        <v>1653619.6893599997</v>
      </c>
      <c r="P411" s="39">
        <v>471262.92</v>
      </c>
      <c r="Q411" s="38">
        <f>'[7]6115REV'!$E$10-'[7]6115REV'!$E$9</f>
        <v>461678.33304300002</v>
      </c>
    </row>
    <row r="412" spans="1:17" x14ac:dyDescent="0.25">
      <c r="A412" s="3" t="s">
        <v>1757</v>
      </c>
      <c r="B412" s="3"/>
      <c r="C412" s="3"/>
      <c r="D412" s="3" t="s">
        <v>157</v>
      </c>
      <c r="E412" s="3"/>
      <c r="F412" s="3"/>
      <c r="G412" s="3"/>
      <c r="H412" s="3"/>
      <c r="I412" s="4"/>
      <c r="J412" s="4"/>
      <c r="K412" s="4"/>
      <c r="L412" s="12"/>
      <c r="M412" s="13"/>
      <c r="N412" s="9"/>
      <c r="O412" s="43">
        <f>'[6]6055PMU'!$E$9</f>
        <v>392711.38020000001</v>
      </c>
      <c r="P412" s="39">
        <v>0</v>
      </c>
      <c r="Q412" s="57">
        <f>'[7]6115REV'!$E$9</f>
        <v>0</v>
      </c>
    </row>
    <row r="413" spans="1:17" x14ac:dyDescent="0.25">
      <c r="A413" s="3" t="s">
        <v>152</v>
      </c>
      <c r="B413" s="3" t="s">
        <v>11</v>
      </c>
      <c r="C413" s="3" t="s">
        <v>142</v>
      </c>
      <c r="D413" s="3" t="s">
        <v>86</v>
      </c>
      <c r="E413" s="3" t="s">
        <v>143</v>
      </c>
      <c r="F413" s="3" t="s">
        <v>37</v>
      </c>
      <c r="G413" s="3" t="s">
        <v>16</v>
      </c>
      <c r="H413" s="3" t="s">
        <v>144</v>
      </c>
      <c r="I413" s="4" t="s">
        <v>38</v>
      </c>
      <c r="J413" s="4">
        <v>1</v>
      </c>
      <c r="K413" s="4"/>
      <c r="L413" s="12">
        <v>0</v>
      </c>
      <c r="M413" s="13">
        <v>12549</v>
      </c>
      <c r="N413" s="9">
        <v>12549</v>
      </c>
      <c r="O413" s="43">
        <v>0</v>
      </c>
      <c r="P413" s="43">
        <v>23667</v>
      </c>
      <c r="Q413" s="57">
        <v>25000</v>
      </c>
    </row>
    <row r="414" spans="1:17" x14ac:dyDescent="0.25">
      <c r="A414" s="3" t="s">
        <v>176</v>
      </c>
      <c r="B414" s="3" t="s">
        <v>11</v>
      </c>
      <c r="C414" s="3" t="s">
        <v>142</v>
      </c>
      <c r="D414" s="3" t="s">
        <v>1630</v>
      </c>
      <c r="E414" s="3" t="s">
        <v>143</v>
      </c>
      <c r="F414" s="3" t="s">
        <v>15</v>
      </c>
      <c r="G414" s="3" t="s">
        <v>16</v>
      </c>
      <c r="H414" s="3" t="s">
        <v>144</v>
      </c>
      <c r="I414" s="4" t="s">
        <v>18</v>
      </c>
      <c r="J414" s="4">
        <v>3</v>
      </c>
      <c r="K414" s="4"/>
      <c r="L414" s="12">
        <v>50000</v>
      </c>
      <c r="M414" s="13">
        <v>100000</v>
      </c>
      <c r="N414" s="9">
        <v>100000</v>
      </c>
      <c r="O414" s="43">
        <v>50000</v>
      </c>
      <c r="P414" s="39">
        <v>50115.65</v>
      </c>
      <c r="Q414" s="57">
        <v>70000</v>
      </c>
    </row>
    <row r="415" spans="1:17" x14ac:dyDescent="0.25">
      <c r="A415" s="3" t="s">
        <v>175</v>
      </c>
      <c r="B415" s="3" t="s">
        <v>11</v>
      </c>
      <c r="C415" s="3" t="s">
        <v>142</v>
      </c>
      <c r="D415" s="3" t="s">
        <v>153</v>
      </c>
      <c r="E415" s="3" t="s">
        <v>143</v>
      </c>
      <c r="F415" s="3" t="s">
        <v>15</v>
      </c>
      <c r="G415" s="3" t="s">
        <v>16</v>
      </c>
      <c r="H415" s="3" t="s">
        <v>144</v>
      </c>
      <c r="I415" s="4" t="s">
        <v>18</v>
      </c>
      <c r="J415" s="4">
        <v>3</v>
      </c>
      <c r="K415" s="4"/>
      <c r="L415" s="12">
        <v>111842</v>
      </c>
      <c r="M415" s="13">
        <v>71384</v>
      </c>
      <c r="N415" s="9">
        <v>71384</v>
      </c>
      <c r="O415" s="43">
        <f>'[6]6055PMU'!$I$3+'[6]6055PMU'!$I$4+'[6]6055PMU'!$I$5+'[6]6055PMU'!$I$6+'[6]6055PMU'!$I$7+'[6]6055PMU'!$I$8</f>
        <v>137801.64077999999</v>
      </c>
      <c r="P415" s="39">
        <v>25682.720000000001</v>
      </c>
      <c r="Q415" s="38">
        <f>'[7]6115REV'!$I$10-'[7]6115REV'!$I$9</f>
        <v>111081.92841299999</v>
      </c>
    </row>
    <row r="416" spans="1:17" x14ac:dyDescent="0.25">
      <c r="A416" s="3" t="s">
        <v>1758</v>
      </c>
      <c r="B416" s="3"/>
      <c r="C416" s="3"/>
      <c r="D416" s="3" t="s">
        <v>153</v>
      </c>
      <c r="E416" s="3"/>
      <c r="F416" s="3"/>
      <c r="G416" s="3"/>
      <c r="H416" s="3"/>
      <c r="I416" s="4"/>
      <c r="J416" s="4"/>
      <c r="K416" s="4"/>
      <c r="L416" s="12"/>
      <c r="M416" s="13"/>
      <c r="N416" s="9"/>
      <c r="O416" s="43">
        <f>'[6]6055PMU'!$I$9</f>
        <v>32725.948350000002</v>
      </c>
      <c r="P416" s="39"/>
      <c r="Q416" s="38">
        <f>'[7]6115REV'!$I$9</f>
        <v>0</v>
      </c>
    </row>
    <row r="417" spans="1:17" x14ac:dyDescent="0.25">
      <c r="A417" s="3" t="s">
        <v>166</v>
      </c>
      <c r="B417" s="3" t="s">
        <v>11</v>
      </c>
      <c r="C417" s="3" t="s">
        <v>142</v>
      </c>
      <c r="D417" s="3" t="s">
        <v>41</v>
      </c>
      <c r="E417" s="3" t="s">
        <v>143</v>
      </c>
      <c r="F417" s="3" t="s">
        <v>15</v>
      </c>
      <c r="G417" s="3" t="s">
        <v>16</v>
      </c>
      <c r="H417" s="3" t="s">
        <v>144</v>
      </c>
      <c r="I417" s="4" t="s">
        <v>18</v>
      </c>
      <c r="J417" s="4">
        <v>3</v>
      </c>
      <c r="K417" s="4"/>
      <c r="L417" s="12">
        <v>295261</v>
      </c>
      <c r="M417" s="13">
        <v>273274</v>
      </c>
      <c r="N417" s="9">
        <v>273274</v>
      </c>
      <c r="O417" s="43">
        <f>'[6]6055PMU'!$K$3+'[6]6055PMU'!$K$4+'[6]6055PMU'!$K$5+'[6]6055PMU'!$K$8</f>
        <v>316936.35040320002</v>
      </c>
      <c r="P417" s="39">
        <v>87817.08</v>
      </c>
      <c r="Q417" s="38">
        <f>'[7]6115REV'!$K$10-'[7]6115REV'!$K$9</f>
        <v>101569.23326946</v>
      </c>
    </row>
    <row r="418" spans="1:17" x14ac:dyDescent="0.25">
      <c r="A418" s="3" t="s">
        <v>1759</v>
      </c>
      <c r="B418" s="3"/>
      <c r="C418" s="3"/>
      <c r="D418" s="3" t="s">
        <v>41</v>
      </c>
      <c r="E418" s="3"/>
      <c r="F418" s="3"/>
      <c r="G418" s="3"/>
      <c r="H418" s="3"/>
      <c r="I418" s="4"/>
      <c r="J418" s="4"/>
      <c r="K418" s="4"/>
      <c r="L418" s="12"/>
      <c r="M418" s="13"/>
      <c r="N418" s="9"/>
      <c r="O418" s="43">
        <f>'[6]6055PMU'!$K$9</f>
        <v>86396.503643999997</v>
      </c>
      <c r="P418" s="39"/>
      <c r="Q418" s="57">
        <f>'[7]6115REV'!$K$9</f>
        <v>0</v>
      </c>
    </row>
    <row r="419" spans="1:17" x14ac:dyDescent="0.25">
      <c r="A419" s="3" t="s">
        <v>165</v>
      </c>
      <c r="B419" s="3" t="s">
        <v>11</v>
      </c>
      <c r="C419" s="3" t="s">
        <v>142</v>
      </c>
      <c r="D419" s="3" t="s">
        <v>36</v>
      </c>
      <c r="E419" s="3" t="s">
        <v>143</v>
      </c>
      <c r="F419" s="3" t="s">
        <v>15</v>
      </c>
      <c r="G419" s="3" t="s">
        <v>16</v>
      </c>
      <c r="H419" s="3" t="s">
        <v>144</v>
      </c>
      <c r="I419" s="4" t="s">
        <v>18</v>
      </c>
      <c r="J419" s="4">
        <v>3</v>
      </c>
      <c r="K419" s="4"/>
      <c r="L419" s="12">
        <v>91613</v>
      </c>
      <c r="M419" s="13">
        <v>94652</v>
      </c>
      <c r="N419" s="9">
        <v>94652</v>
      </c>
      <c r="O419" s="39">
        <f>'[8]6055PMU'!$L$10</f>
        <v>130384.79999999999</v>
      </c>
      <c r="P419" s="39">
        <v>34002</v>
      </c>
      <c r="Q419" s="38">
        <f>'[7]6115REV'!$L$10</f>
        <v>13035</v>
      </c>
    </row>
    <row r="420" spans="1:17" x14ac:dyDescent="0.25">
      <c r="A420" s="3" t="s">
        <v>170</v>
      </c>
      <c r="B420" s="3" t="s">
        <v>11</v>
      </c>
      <c r="C420" s="3" t="s">
        <v>142</v>
      </c>
      <c r="D420" s="3" t="s">
        <v>47</v>
      </c>
      <c r="E420" s="3" t="s">
        <v>143</v>
      </c>
      <c r="F420" s="3" t="s">
        <v>15</v>
      </c>
      <c r="G420" s="3" t="s">
        <v>16</v>
      </c>
      <c r="H420" s="3" t="s">
        <v>144</v>
      </c>
      <c r="I420" s="4" t="s">
        <v>18</v>
      </c>
      <c r="J420" s="4">
        <v>3</v>
      </c>
      <c r="K420" s="4"/>
      <c r="L420" s="12">
        <v>306470</v>
      </c>
      <c r="M420" s="13">
        <v>300158</v>
      </c>
      <c r="N420" s="9">
        <v>300158</v>
      </c>
      <c r="O420" s="39">
        <f>'[8]6055PMU'!$M$10</f>
        <v>325959.12</v>
      </c>
      <c r="P420" s="39">
        <v>122884.35</v>
      </c>
      <c r="Q420" s="38">
        <f>'[7]6115REV'!$M$10</f>
        <v>0</v>
      </c>
    </row>
    <row r="421" spans="1:17" x14ac:dyDescent="0.25">
      <c r="A421" s="3" t="s">
        <v>160</v>
      </c>
      <c r="B421" s="3" t="s">
        <v>11</v>
      </c>
      <c r="C421" s="3" t="s">
        <v>142</v>
      </c>
      <c r="D421" s="3" t="s">
        <v>45</v>
      </c>
      <c r="E421" s="3" t="s">
        <v>143</v>
      </c>
      <c r="F421" s="3" t="s">
        <v>15</v>
      </c>
      <c r="G421" s="3" t="s">
        <v>16</v>
      </c>
      <c r="H421" s="3" t="s">
        <v>144</v>
      </c>
      <c r="I421" s="4" t="s">
        <v>18</v>
      </c>
      <c r="J421" s="4">
        <v>3</v>
      </c>
      <c r="K421" s="4"/>
      <c r="L421" s="12">
        <v>22400</v>
      </c>
      <c r="M421" s="13">
        <v>23922</v>
      </c>
      <c r="N421" s="9">
        <v>23922</v>
      </c>
      <c r="O421" s="39">
        <f>'[8]6055PMU'!$N$10</f>
        <v>35496</v>
      </c>
      <c r="P421" s="39">
        <v>10089.81</v>
      </c>
      <c r="Q421" s="38">
        <f>'[7]6115REV'!$N$10</f>
        <v>2274</v>
      </c>
    </row>
    <row r="422" spans="1:17" x14ac:dyDescent="0.25">
      <c r="A422" s="3" t="s">
        <v>174</v>
      </c>
      <c r="B422" s="3" t="s">
        <v>11</v>
      </c>
      <c r="C422" s="3" t="s">
        <v>142</v>
      </c>
      <c r="D422" s="3" t="s">
        <v>156</v>
      </c>
      <c r="E422" s="3" t="s">
        <v>143</v>
      </c>
      <c r="F422" s="3" t="s">
        <v>15</v>
      </c>
      <c r="G422" s="3" t="s">
        <v>16</v>
      </c>
      <c r="H422" s="3" t="s">
        <v>144</v>
      </c>
      <c r="I422" s="4" t="s">
        <v>18</v>
      </c>
      <c r="J422" s="4">
        <v>3</v>
      </c>
      <c r="K422" s="4"/>
      <c r="L422" s="12">
        <v>9559</v>
      </c>
      <c r="M422" s="13">
        <v>5799</v>
      </c>
      <c r="N422" s="9">
        <v>5799</v>
      </c>
      <c r="O422" s="39">
        <f>'[8]6055PMU'!$P$10</f>
        <v>0</v>
      </c>
      <c r="P422" s="39">
        <v>2723.31</v>
      </c>
      <c r="Q422" s="38">
        <v>2800</v>
      </c>
    </row>
    <row r="423" spans="1:17" x14ac:dyDescent="0.25">
      <c r="A423" s="3" t="s">
        <v>164</v>
      </c>
      <c r="B423" s="3" t="s">
        <v>11</v>
      </c>
      <c r="C423" s="3" t="s">
        <v>142</v>
      </c>
      <c r="D423" s="3" t="s">
        <v>151</v>
      </c>
      <c r="E423" s="3" t="s">
        <v>143</v>
      </c>
      <c r="F423" s="3" t="s">
        <v>15</v>
      </c>
      <c r="G423" s="3" t="s">
        <v>16</v>
      </c>
      <c r="H423" s="3" t="s">
        <v>144</v>
      </c>
      <c r="I423" s="4" t="s">
        <v>18</v>
      </c>
      <c r="J423" s="4">
        <v>3</v>
      </c>
      <c r="K423" s="4"/>
      <c r="L423" s="12">
        <v>396</v>
      </c>
      <c r="M423" s="13">
        <v>426</v>
      </c>
      <c r="N423" s="9">
        <v>426</v>
      </c>
      <c r="O423" s="39">
        <f>'[8]6055PMU'!$Q$10</f>
        <v>420</v>
      </c>
      <c r="P423" s="39">
        <v>139.80000000000001</v>
      </c>
      <c r="Q423" s="38">
        <f>'[7]6115REV'!$Q$10-'[7]6115REV'!$Q$9</f>
        <v>4616.7833304300002</v>
      </c>
    </row>
    <row r="424" spans="1:17" x14ac:dyDescent="0.25">
      <c r="A424" s="3" t="s">
        <v>1760</v>
      </c>
      <c r="B424" s="3"/>
      <c r="C424" s="3"/>
      <c r="D424" s="3" t="s">
        <v>151</v>
      </c>
      <c r="E424" s="3"/>
      <c r="F424" s="3"/>
      <c r="G424" s="3"/>
      <c r="H424" s="3"/>
      <c r="I424" s="4"/>
      <c r="J424" s="4"/>
      <c r="K424" s="4"/>
      <c r="L424" s="12"/>
      <c r="M424" s="13"/>
      <c r="N424" s="9"/>
      <c r="O424" s="43">
        <f>'[6]6055PMU'!$Q$9</f>
        <v>105</v>
      </c>
      <c r="P424" s="39"/>
      <c r="Q424" s="57">
        <f>'[7]6115REV'!$Q$9</f>
        <v>0</v>
      </c>
    </row>
    <row r="425" spans="1:17" x14ac:dyDescent="0.25">
      <c r="A425" s="3" t="s">
        <v>173</v>
      </c>
      <c r="B425" s="3" t="s">
        <v>11</v>
      </c>
      <c r="C425" s="3" t="s">
        <v>142</v>
      </c>
      <c r="D425" s="3" t="s">
        <v>30</v>
      </c>
      <c r="E425" s="3" t="s">
        <v>143</v>
      </c>
      <c r="F425" s="3" t="s">
        <v>15</v>
      </c>
      <c r="G425" s="3" t="s">
        <v>16</v>
      </c>
      <c r="H425" s="3" t="s">
        <v>144</v>
      </c>
      <c r="I425" s="4" t="s">
        <v>18</v>
      </c>
      <c r="J425" s="4">
        <v>3</v>
      </c>
      <c r="K425" s="4"/>
      <c r="L425" s="12">
        <v>15547</v>
      </c>
      <c r="M425" s="13">
        <v>18563</v>
      </c>
      <c r="N425" s="9">
        <v>18563</v>
      </c>
      <c r="O425" s="43">
        <f>'[6]6055PMU'!$R$3+'[6]6055PMU'!$R$4+'[6]6055PMU'!$R$5+'[6]6055PMU'!$R$6+'[6]6055PMU'!$R$7+'[6]6055PMU'!$R$8</f>
        <v>16536.196893599998</v>
      </c>
      <c r="P425" s="39">
        <v>6806.47</v>
      </c>
      <c r="Q425" s="38">
        <f>'[7]6115REV'!$R$10-'[7]6115REV'!$R$9</f>
        <v>227.5</v>
      </c>
    </row>
    <row r="426" spans="1:17" x14ac:dyDescent="0.25">
      <c r="A426" s="3" t="s">
        <v>1761</v>
      </c>
      <c r="B426" s="3"/>
      <c r="C426" s="3"/>
      <c r="D426" s="3" t="s">
        <v>30</v>
      </c>
      <c r="E426" s="3"/>
      <c r="F426" s="3"/>
      <c r="G426" s="3"/>
      <c r="H426" s="3"/>
      <c r="I426" s="4"/>
      <c r="J426" s="4"/>
      <c r="K426" s="4"/>
      <c r="L426" s="12"/>
      <c r="M426" s="13"/>
      <c r="N426" s="9"/>
      <c r="O426" s="43">
        <f>'[6]6055PMU'!$R$9</f>
        <v>3927.1138020000003</v>
      </c>
      <c r="P426" s="39"/>
      <c r="Q426" s="57">
        <f>'[7]6115REV'!$R$9</f>
        <v>0</v>
      </c>
    </row>
    <row r="427" spans="1:17" x14ac:dyDescent="0.25">
      <c r="A427" s="3" t="s">
        <v>161</v>
      </c>
      <c r="B427" s="3" t="s">
        <v>11</v>
      </c>
      <c r="C427" s="3" t="s">
        <v>142</v>
      </c>
      <c r="D427" s="3" t="s">
        <v>162</v>
      </c>
      <c r="E427" s="3" t="s">
        <v>143</v>
      </c>
      <c r="F427" s="3" t="s">
        <v>37</v>
      </c>
      <c r="G427" s="3" t="s">
        <v>16</v>
      </c>
      <c r="H427" s="3" t="s">
        <v>144</v>
      </c>
      <c r="I427" s="4" t="s">
        <v>38</v>
      </c>
      <c r="J427" s="4">
        <v>1</v>
      </c>
      <c r="K427" s="4"/>
      <c r="L427" s="12">
        <v>0</v>
      </c>
      <c r="M427" s="13">
        <v>76044</v>
      </c>
      <c r="N427" s="9">
        <v>76044</v>
      </c>
      <c r="O427" s="39">
        <v>0</v>
      </c>
      <c r="P427" s="39">
        <v>0</v>
      </c>
      <c r="Q427" s="38"/>
    </row>
    <row r="428" spans="1:17" x14ac:dyDescent="0.25">
      <c r="A428" s="3" t="s">
        <v>154</v>
      </c>
      <c r="B428" s="3" t="s">
        <v>11</v>
      </c>
      <c r="C428" s="3" t="s">
        <v>142</v>
      </c>
      <c r="D428" s="3" t="s">
        <v>155</v>
      </c>
      <c r="E428" s="3" t="s">
        <v>143</v>
      </c>
      <c r="F428" s="3" t="s">
        <v>37</v>
      </c>
      <c r="G428" s="3" t="s">
        <v>16</v>
      </c>
      <c r="H428" s="3" t="s">
        <v>144</v>
      </c>
      <c r="I428" s="4" t="s">
        <v>38</v>
      </c>
      <c r="J428" s="4">
        <v>1</v>
      </c>
      <c r="K428" s="4"/>
      <c r="L428" s="12">
        <v>0</v>
      </c>
      <c r="M428" s="13">
        <v>0</v>
      </c>
      <c r="N428" s="9">
        <v>0</v>
      </c>
      <c r="O428" s="39">
        <f>'[8]6055PMU'!$J$10</f>
        <v>12127.47</v>
      </c>
      <c r="P428" s="39"/>
      <c r="Q428" s="38">
        <f>'[7]6115REV'!$J$10</f>
        <v>0</v>
      </c>
    </row>
    <row r="429" spans="1:17" x14ac:dyDescent="0.25">
      <c r="A429" s="3" t="s">
        <v>167</v>
      </c>
      <c r="B429" s="3" t="s">
        <v>11</v>
      </c>
      <c r="C429" s="3" t="s">
        <v>142</v>
      </c>
      <c r="D429" s="3" t="s">
        <v>43</v>
      </c>
      <c r="E429" s="3" t="s">
        <v>143</v>
      </c>
      <c r="F429" s="3" t="s">
        <v>15</v>
      </c>
      <c r="G429" s="3" t="s">
        <v>16</v>
      </c>
      <c r="H429" s="3" t="s">
        <v>144</v>
      </c>
      <c r="I429" s="4" t="s">
        <v>18</v>
      </c>
      <c r="J429" s="4">
        <v>3</v>
      </c>
      <c r="K429" s="4"/>
      <c r="L429" s="12">
        <v>8115</v>
      </c>
      <c r="M429" s="13">
        <v>11573</v>
      </c>
      <c r="N429" s="9">
        <v>11573</v>
      </c>
      <c r="O429" s="43">
        <f>'[6]6055PMU'!$T$3+'[6]6055PMU'!$T$4+'[6]6055PMU'!$T$5+'[6]6055PMU'!$T$6+'[6]6055PMU'!$T$7+'[6]6055PMU'!$T$8</f>
        <v>8119.4391479999986</v>
      </c>
      <c r="P429" s="39">
        <v>2230.8000000000002</v>
      </c>
      <c r="Q429" s="38" t="e">
        <f>'[7]6115REV'!$T$10-'[7]6115REV'!$T$9</f>
        <v>#REF!</v>
      </c>
    </row>
    <row r="430" spans="1:17" x14ac:dyDescent="0.25">
      <c r="A430" s="3" t="s">
        <v>1762</v>
      </c>
      <c r="B430" s="3"/>
      <c r="C430" s="3"/>
      <c r="D430" s="3" t="s">
        <v>43</v>
      </c>
      <c r="E430" s="3"/>
      <c r="F430" s="3"/>
      <c r="G430" s="3"/>
      <c r="H430" s="3"/>
      <c r="I430" s="4"/>
      <c r="J430" s="4"/>
      <c r="K430" s="4"/>
      <c r="L430" s="12"/>
      <c r="M430" s="13"/>
      <c r="N430" s="9"/>
      <c r="O430" s="43">
        <f>'[6]6055PMU'!$T$9</f>
        <v>1497.36</v>
      </c>
      <c r="P430" s="39"/>
      <c r="Q430" s="38">
        <f>'[7]6115REV'!$T$9</f>
        <v>0</v>
      </c>
    </row>
    <row r="431" spans="1:17" x14ac:dyDescent="0.25">
      <c r="A431" s="3" t="s">
        <v>33</v>
      </c>
      <c r="B431" s="3" t="s">
        <v>11</v>
      </c>
      <c r="C431" s="3" t="s">
        <v>12</v>
      </c>
      <c r="D431" s="3" t="s">
        <v>34</v>
      </c>
      <c r="E431" s="3" t="s">
        <v>14</v>
      </c>
      <c r="F431" s="3" t="s">
        <v>15</v>
      </c>
      <c r="G431" s="3" t="s">
        <v>16</v>
      </c>
      <c r="H431" s="3" t="s">
        <v>17</v>
      </c>
      <c r="I431" s="4" t="s">
        <v>18</v>
      </c>
      <c r="J431" s="4">
        <v>3</v>
      </c>
      <c r="K431" s="4"/>
      <c r="L431" s="5">
        <v>644597</v>
      </c>
      <c r="M431" s="12">
        <v>630331.92000000004</v>
      </c>
      <c r="N431" s="8">
        <v>630331.92000000004</v>
      </c>
      <c r="O431" s="53">
        <f>'[6]6053MM'!$E$3</f>
        <v>696797.1666</v>
      </c>
      <c r="P431" s="10">
        <v>165103.41</v>
      </c>
      <c r="Q431" s="8">
        <f>'[7]6115REV'!$E$3</f>
        <v>59761.030859999999</v>
      </c>
    </row>
    <row r="432" spans="1:17" x14ac:dyDescent="0.25">
      <c r="A432" s="3" t="s">
        <v>40</v>
      </c>
      <c r="B432" s="3" t="s">
        <v>11</v>
      </c>
      <c r="C432" s="3" t="s">
        <v>12</v>
      </c>
      <c r="D432" s="3" t="s">
        <v>41</v>
      </c>
      <c r="E432" s="3" t="s">
        <v>14</v>
      </c>
      <c r="F432" s="3" t="s">
        <v>15</v>
      </c>
      <c r="G432" s="3" t="s">
        <v>16</v>
      </c>
      <c r="H432" s="3" t="s">
        <v>17</v>
      </c>
      <c r="I432" s="4" t="s">
        <v>18</v>
      </c>
      <c r="J432" s="4">
        <v>3</v>
      </c>
      <c r="K432" s="4"/>
      <c r="L432" s="5">
        <v>30320</v>
      </c>
      <c r="M432" s="12">
        <v>30319.68</v>
      </c>
      <c r="N432" s="8">
        <v>30319.68</v>
      </c>
      <c r="O432" s="53">
        <f>'[6]6053MM'!$K$3</f>
        <v>30319.68</v>
      </c>
      <c r="P432" s="10">
        <v>8178.36</v>
      </c>
      <c r="Q432" s="8">
        <f>'[7]6115REV'!$K$3</f>
        <v>13147.426789200001</v>
      </c>
    </row>
    <row r="433" spans="1:17" x14ac:dyDescent="0.25">
      <c r="A433" s="3" t="s">
        <v>46</v>
      </c>
      <c r="B433" s="3" t="s">
        <v>11</v>
      </c>
      <c r="C433" s="3" t="s">
        <v>12</v>
      </c>
      <c r="D433" s="3" t="s">
        <v>47</v>
      </c>
      <c r="E433" s="3" t="s">
        <v>14</v>
      </c>
      <c r="F433" s="3" t="s">
        <v>15</v>
      </c>
      <c r="G433" s="3" t="s">
        <v>16</v>
      </c>
      <c r="H433" s="3" t="s">
        <v>17</v>
      </c>
      <c r="I433" s="4" t="s">
        <v>18</v>
      </c>
      <c r="J433" s="4">
        <v>3</v>
      </c>
      <c r="K433" s="4"/>
      <c r="L433" s="5">
        <v>345916</v>
      </c>
      <c r="M433" s="12">
        <v>324147</v>
      </c>
      <c r="N433" s="8">
        <v>324147</v>
      </c>
      <c r="O433" s="53">
        <f>'[8]6053MM'!$M$3</f>
        <v>346783.44</v>
      </c>
      <c r="P433" s="10">
        <v>81251.97</v>
      </c>
      <c r="Q433" s="8">
        <f>'[7]6115REV'!$M$3</f>
        <v>0</v>
      </c>
    </row>
    <row r="434" spans="1:17" x14ac:dyDescent="0.25">
      <c r="A434" s="3" t="s">
        <v>44</v>
      </c>
      <c r="B434" s="3" t="s">
        <v>11</v>
      </c>
      <c r="C434" s="3" t="s">
        <v>12</v>
      </c>
      <c r="D434" s="3" t="s">
        <v>45</v>
      </c>
      <c r="E434" s="3" t="s">
        <v>14</v>
      </c>
      <c r="F434" s="3" t="s">
        <v>37</v>
      </c>
      <c r="G434" s="3" t="s">
        <v>16</v>
      </c>
      <c r="H434" s="3" t="s">
        <v>17</v>
      </c>
      <c r="I434" s="4" t="s">
        <v>38</v>
      </c>
      <c r="J434" s="4">
        <v>3</v>
      </c>
      <c r="K434" s="4"/>
      <c r="L434" s="5">
        <v>12000</v>
      </c>
      <c r="M434" s="12">
        <v>12600</v>
      </c>
      <c r="N434" s="8">
        <v>12600</v>
      </c>
      <c r="O434" s="53">
        <f>'[8]6053MM'!$N$3</f>
        <v>16800</v>
      </c>
      <c r="P434" s="10">
        <v>4200</v>
      </c>
      <c r="Q434" s="8">
        <f>'[7]6115REV'!$N$3</f>
        <v>0</v>
      </c>
    </row>
    <row r="435" spans="1:17" x14ac:dyDescent="0.25">
      <c r="A435" s="3" t="s">
        <v>29</v>
      </c>
      <c r="B435" s="3" t="s">
        <v>11</v>
      </c>
      <c r="C435" s="3" t="s">
        <v>12</v>
      </c>
      <c r="D435" s="3" t="s">
        <v>30</v>
      </c>
      <c r="E435" s="3" t="s">
        <v>14</v>
      </c>
      <c r="F435" s="3" t="s">
        <v>15</v>
      </c>
      <c r="G435" s="3" t="s">
        <v>16</v>
      </c>
      <c r="H435" s="3" t="s">
        <v>17</v>
      </c>
      <c r="I435" s="4" t="s">
        <v>18</v>
      </c>
      <c r="J435" s="4">
        <v>3</v>
      </c>
      <c r="K435" s="4"/>
      <c r="L435" s="5">
        <v>6445.97</v>
      </c>
      <c r="M435" s="12">
        <v>7527.27</v>
      </c>
      <c r="N435" s="8">
        <v>7527.27</v>
      </c>
      <c r="O435" s="53">
        <f>'[6]6053MM'!$Q$3</f>
        <v>6967.9716660000004</v>
      </c>
      <c r="P435" s="10">
        <v>2279.31</v>
      </c>
      <c r="Q435" s="8">
        <f>'[7]6115REV'!$Q$3</f>
        <v>597.61030860000005</v>
      </c>
    </row>
    <row r="436" spans="1:17" x14ac:dyDescent="0.25">
      <c r="A436" s="3" t="s">
        <v>42</v>
      </c>
      <c r="B436" s="3" t="s">
        <v>11</v>
      </c>
      <c r="C436" s="3" t="s">
        <v>12</v>
      </c>
      <c r="D436" s="3" t="s">
        <v>43</v>
      </c>
      <c r="E436" s="3" t="s">
        <v>14</v>
      </c>
      <c r="F436" s="3" t="s">
        <v>15</v>
      </c>
      <c r="G436" s="3" t="s">
        <v>16</v>
      </c>
      <c r="H436" s="3" t="s">
        <v>17</v>
      </c>
      <c r="I436" s="4" t="s">
        <v>18</v>
      </c>
      <c r="J436" s="4">
        <v>3</v>
      </c>
      <c r="K436" s="4"/>
      <c r="L436" s="5">
        <v>1497.36</v>
      </c>
      <c r="M436" s="12">
        <v>7285.01</v>
      </c>
      <c r="N436" s="8">
        <v>7285.01</v>
      </c>
      <c r="O436" s="53">
        <f>'[6]6053MM'!$S$3</f>
        <v>1497.36</v>
      </c>
      <c r="P436" s="10">
        <v>446.16</v>
      </c>
      <c r="Q436" s="8">
        <f>'[7]6115REV'!$S$3</f>
        <v>1723.7</v>
      </c>
    </row>
    <row r="437" spans="1:17" x14ac:dyDescent="0.25">
      <c r="A437" s="3" t="s">
        <v>85</v>
      </c>
      <c r="B437" s="3" t="s">
        <v>11</v>
      </c>
      <c r="C437" s="3" t="s">
        <v>12</v>
      </c>
      <c r="D437" s="3" t="s">
        <v>86</v>
      </c>
      <c r="E437" s="3" t="s">
        <v>87</v>
      </c>
      <c r="F437" s="3" t="s">
        <v>37</v>
      </c>
      <c r="G437" s="3" t="s">
        <v>16</v>
      </c>
      <c r="H437" s="3" t="s">
        <v>17</v>
      </c>
      <c r="I437" s="4" t="s">
        <v>38</v>
      </c>
      <c r="J437" s="4">
        <v>1</v>
      </c>
      <c r="K437" s="4"/>
      <c r="L437" s="5">
        <v>0</v>
      </c>
      <c r="M437" s="12">
        <v>0</v>
      </c>
      <c r="N437" s="8">
        <v>0</v>
      </c>
      <c r="O437" s="53"/>
      <c r="P437" s="10"/>
      <c r="Q437" s="8"/>
    </row>
    <row r="438" spans="1:17" x14ac:dyDescent="0.25">
      <c r="A438" s="3" t="s">
        <v>104</v>
      </c>
      <c r="B438" s="3" t="s">
        <v>11</v>
      </c>
      <c r="C438" s="3" t="s">
        <v>12</v>
      </c>
      <c r="D438" s="3" t="s">
        <v>86</v>
      </c>
      <c r="E438" s="3" t="s">
        <v>90</v>
      </c>
      <c r="F438" s="3" t="s">
        <v>37</v>
      </c>
      <c r="G438" s="3" t="s">
        <v>16</v>
      </c>
      <c r="H438" s="3" t="s">
        <v>17</v>
      </c>
      <c r="I438" s="4" t="s">
        <v>38</v>
      </c>
      <c r="J438" s="4">
        <v>1</v>
      </c>
      <c r="K438" s="4"/>
      <c r="L438" s="5">
        <v>0</v>
      </c>
      <c r="M438" s="12">
        <v>0</v>
      </c>
      <c r="N438" s="8">
        <v>0</v>
      </c>
      <c r="O438" s="53"/>
      <c r="P438" s="10"/>
      <c r="Q438" s="8"/>
    </row>
    <row r="439" spans="1:17" x14ac:dyDescent="0.25">
      <c r="A439" s="3" t="s">
        <v>140</v>
      </c>
      <c r="B439" s="3" t="s">
        <v>11</v>
      </c>
      <c r="C439" s="3" t="s">
        <v>12</v>
      </c>
      <c r="D439" s="3" t="s">
        <v>86</v>
      </c>
      <c r="E439" s="3" t="s">
        <v>126</v>
      </c>
      <c r="F439" s="3" t="s">
        <v>37</v>
      </c>
      <c r="G439" s="3" t="s">
        <v>16</v>
      </c>
      <c r="H439" s="3" t="s">
        <v>17</v>
      </c>
      <c r="I439" s="4" t="s">
        <v>38</v>
      </c>
      <c r="J439" s="4">
        <v>1</v>
      </c>
      <c r="K439" s="4"/>
      <c r="L439" s="5">
        <v>0</v>
      </c>
      <c r="M439" s="12">
        <v>0</v>
      </c>
      <c r="N439" s="8">
        <v>0</v>
      </c>
      <c r="O439" s="53"/>
      <c r="P439" s="10"/>
      <c r="Q439" s="8"/>
    </row>
    <row r="440" spans="1:17" x14ac:dyDescent="0.25">
      <c r="A440" s="3" t="s">
        <v>48</v>
      </c>
      <c r="B440" s="3" t="s">
        <v>11</v>
      </c>
      <c r="C440" s="3" t="s">
        <v>12</v>
      </c>
      <c r="D440" s="3" t="s">
        <v>1635</v>
      </c>
      <c r="E440" s="3" t="s">
        <v>14</v>
      </c>
      <c r="F440" s="3" t="s">
        <v>15</v>
      </c>
      <c r="G440" s="3" t="s">
        <v>16</v>
      </c>
      <c r="H440" s="3" t="s">
        <v>17</v>
      </c>
      <c r="I440" s="4" t="s">
        <v>18</v>
      </c>
      <c r="J440" s="4">
        <v>3</v>
      </c>
      <c r="K440" s="4"/>
      <c r="L440" s="5">
        <v>38400</v>
      </c>
      <c r="M440" s="12">
        <v>39796</v>
      </c>
      <c r="N440" s="8">
        <v>39796</v>
      </c>
      <c r="O440" s="53">
        <f>'[8]6053MM'!$R$3</f>
        <v>38400</v>
      </c>
      <c r="P440" s="10">
        <v>9984</v>
      </c>
      <c r="Q440" s="8">
        <f>'[7]6115REV'!$R$3</f>
        <v>43.75</v>
      </c>
    </row>
    <row r="441" spans="1:17" x14ac:dyDescent="0.25">
      <c r="A441" s="3" t="s">
        <v>53</v>
      </c>
      <c r="B441" s="3" t="s">
        <v>11</v>
      </c>
      <c r="C441" s="3" t="s">
        <v>12</v>
      </c>
      <c r="D441" s="3" t="s">
        <v>41</v>
      </c>
      <c r="E441" s="3" t="s">
        <v>50</v>
      </c>
      <c r="F441" s="3" t="s">
        <v>37</v>
      </c>
      <c r="G441" s="3" t="s">
        <v>16</v>
      </c>
      <c r="H441" s="3" t="s">
        <v>17</v>
      </c>
      <c r="I441" s="4" t="s">
        <v>38</v>
      </c>
      <c r="J441" s="4">
        <v>1</v>
      </c>
      <c r="K441" s="4"/>
      <c r="L441" s="5">
        <v>0</v>
      </c>
      <c r="M441" s="12">
        <v>0</v>
      </c>
      <c r="N441" s="8">
        <v>0</v>
      </c>
      <c r="O441" s="53"/>
      <c r="P441" s="10"/>
      <c r="Q441" s="8"/>
    </row>
    <row r="442" spans="1:17" x14ac:dyDescent="0.25">
      <c r="A442" s="3" t="s">
        <v>63</v>
      </c>
      <c r="B442" s="3" t="s">
        <v>11</v>
      </c>
      <c r="C442" s="3" t="s">
        <v>12</v>
      </c>
      <c r="D442" s="3" t="s">
        <v>34</v>
      </c>
      <c r="E442" s="3" t="s">
        <v>50</v>
      </c>
      <c r="F442" s="3" t="s">
        <v>15</v>
      </c>
      <c r="G442" s="3" t="s">
        <v>16</v>
      </c>
      <c r="H442" s="3" t="s">
        <v>17</v>
      </c>
      <c r="I442" s="4" t="s">
        <v>18</v>
      </c>
      <c r="J442" s="4">
        <v>3</v>
      </c>
      <c r="K442" s="4"/>
      <c r="L442" s="5">
        <v>743950</v>
      </c>
      <c r="M442" s="12">
        <v>723731.74</v>
      </c>
      <c r="N442" s="8">
        <v>723731.74</v>
      </c>
      <c r="O442" s="53">
        <f>'[6]6053MM'!$E$8</f>
        <v>796088.18160000001</v>
      </c>
      <c r="P442" s="10">
        <v>188419.91</v>
      </c>
      <c r="Q442" s="8">
        <f>'[7]6115REV'!$E$8</f>
        <v>95778.334232999987</v>
      </c>
    </row>
    <row r="443" spans="1:17" x14ac:dyDescent="0.25">
      <c r="A443" s="3" t="s">
        <v>64</v>
      </c>
      <c r="B443" s="3" t="s">
        <v>11</v>
      </c>
      <c r="C443" s="3" t="s">
        <v>12</v>
      </c>
      <c r="D443" s="3" t="s">
        <v>41</v>
      </c>
      <c r="E443" s="3" t="s">
        <v>50</v>
      </c>
      <c r="F443" s="3" t="s">
        <v>15</v>
      </c>
      <c r="G443" s="3" t="s">
        <v>16</v>
      </c>
      <c r="H443" s="3" t="s">
        <v>17</v>
      </c>
      <c r="I443" s="4" t="s">
        <v>18</v>
      </c>
      <c r="J443" s="4">
        <v>3</v>
      </c>
      <c r="K443" s="4"/>
      <c r="L443" s="5">
        <v>34993</v>
      </c>
      <c r="M443" s="12">
        <v>34992.959999999999</v>
      </c>
      <c r="N443" s="8">
        <v>34992.959999999999</v>
      </c>
      <c r="O443" s="53">
        <f>'[6]6053MM'!$K$8</f>
        <v>34992.959999999999</v>
      </c>
      <c r="P443" s="10">
        <v>9343.77</v>
      </c>
      <c r="Q443" s="8">
        <f>'[7]6115REV'!$K$8</f>
        <v>21071.233531259997</v>
      </c>
    </row>
    <row r="444" spans="1:17" x14ac:dyDescent="0.25">
      <c r="A444" s="3" t="s">
        <v>66</v>
      </c>
      <c r="B444" s="3" t="s">
        <v>11</v>
      </c>
      <c r="C444" s="3" t="s">
        <v>12</v>
      </c>
      <c r="D444" s="3" t="s">
        <v>47</v>
      </c>
      <c r="E444" s="3" t="s">
        <v>50</v>
      </c>
      <c r="F444" s="3" t="s">
        <v>15</v>
      </c>
      <c r="G444" s="3" t="s">
        <v>16</v>
      </c>
      <c r="H444" s="3" t="s">
        <v>17</v>
      </c>
      <c r="I444" s="4" t="s">
        <v>18</v>
      </c>
      <c r="J444" s="4">
        <v>3</v>
      </c>
      <c r="K444" s="4"/>
      <c r="L444" s="5">
        <v>240909</v>
      </c>
      <c r="M444" s="12">
        <v>226134.72</v>
      </c>
      <c r="N444" s="8">
        <v>226134.72</v>
      </c>
      <c r="O444" s="53">
        <f>'[8]6053MM'!$M$8</f>
        <v>242331.96000000002</v>
      </c>
      <c r="P444" s="10">
        <v>56778.81</v>
      </c>
      <c r="Q444" s="8">
        <f>'[7]6115REV'!$M$8</f>
        <v>0</v>
      </c>
    </row>
    <row r="445" spans="1:17" x14ac:dyDescent="0.25">
      <c r="A445" s="3" t="s">
        <v>54</v>
      </c>
      <c r="B445" s="3" t="s">
        <v>11</v>
      </c>
      <c r="C445" s="3" t="s">
        <v>12</v>
      </c>
      <c r="D445" s="3" t="s">
        <v>45</v>
      </c>
      <c r="E445" s="3" t="s">
        <v>50</v>
      </c>
      <c r="F445" s="3" t="s">
        <v>37</v>
      </c>
      <c r="G445" s="3" t="s">
        <v>16</v>
      </c>
      <c r="H445" s="3" t="s">
        <v>17</v>
      </c>
      <c r="I445" s="4" t="s">
        <v>38</v>
      </c>
      <c r="J445" s="4">
        <v>3</v>
      </c>
      <c r="K445" s="4"/>
      <c r="L445" s="5">
        <v>12000</v>
      </c>
      <c r="M445" s="12">
        <v>12600</v>
      </c>
      <c r="N445" s="8">
        <v>12600</v>
      </c>
      <c r="O445" s="53">
        <f>'[8]6053MM'!$N$8</f>
        <v>16800</v>
      </c>
      <c r="P445" s="10">
        <v>4200</v>
      </c>
      <c r="Q445" s="8">
        <f>'[7]6115REV'!$N$8</f>
        <v>2274</v>
      </c>
    </row>
    <row r="446" spans="1:17" x14ac:dyDescent="0.25">
      <c r="A446" s="3" t="s">
        <v>35</v>
      </c>
      <c r="B446" s="3" t="s">
        <v>11</v>
      </c>
      <c r="C446" s="3" t="s">
        <v>12</v>
      </c>
      <c r="D446" s="3" t="s">
        <v>36</v>
      </c>
      <c r="E446" s="3" t="s">
        <v>14</v>
      </c>
      <c r="F446" s="3" t="s">
        <v>37</v>
      </c>
      <c r="G446" s="3" t="s">
        <v>16</v>
      </c>
      <c r="H446" s="3" t="s">
        <v>17</v>
      </c>
      <c r="I446" s="4" t="s">
        <v>38</v>
      </c>
      <c r="J446" s="4">
        <v>1</v>
      </c>
      <c r="K446" s="4"/>
      <c r="L446" s="5">
        <v>0</v>
      </c>
      <c r="M446" s="12">
        <v>0</v>
      </c>
      <c r="N446" s="8">
        <v>0</v>
      </c>
      <c r="O446" s="53"/>
      <c r="P446" s="10"/>
      <c r="Q446" s="8"/>
    </row>
    <row r="447" spans="1:17" x14ac:dyDescent="0.25">
      <c r="A447" s="3" t="s">
        <v>39</v>
      </c>
      <c r="B447" s="3" t="s">
        <v>11</v>
      </c>
      <c r="C447" s="3" t="s">
        <v>12</v>
      </c>
      <c r="D447" s="3" t="s">
        <v>36</v>
      </c>
      <c r="E447" s="3" t="s">
        <v>14</v>
      </c>
      <c r="F447" s="3" t="s">
        <v>37</v>
      </c>
      <c r="G447" s="3" t="s">
        <v>16</v>
      </c>
      <c r="H447" s="3" t="s">
        <v>17</v>
      </c>
      <c r="I447" s="4" t="s">
        <v>38</v>
      </c>
      <c r="J447" s="4">
        <v>1</v>
      </c>
      <c r="K447" s="4"/>
      <c r="L447" s="5">
        <v>0</v>
      </c>
      <c r="M447" s="12">
        <v>0</v>
      </c>
      <c r="N447" s="8">
        <v>0</v>
      </c>
      <c r="O447" s="53"/>
      <c r="P447" s="10"/>
      <c r="Q447" s="8"/>
    </row>
    <row r="448" spans="1:17" x14ac:dyDescent="0.25">
      <c r="A448" s="3" t="s">
        <v>49</v>
      </c>
      <c r="B448" s="3" t="s">
        <v>11</v>
      </c>
      <c r="C448" s="3" t="s">
        <v>12</v>
      </c>
      <c r="D448" s="3" t="s">
        <v>36</v>
      </c>
      <c r="E448" s="3" t="s">
        <v>50</v>
      </c>
      <c r="F448" s="3" t="s">
        <v>37</v>
      </c>
      <c r="G448" s="3" t="s">
        <v>16</v>
      </c>
      <c r="H448" s="3" t="s">
        <v>17</v>
      </c>
      <c r="I448" s="4" t="s">
        <v>38</v>
      </c>
      <c r="J448" s="4">
        <v>1</v>
      </c>
      <c r="K448" s="4"/>
      <c r="L448" s="5">
        <v>0</v>
      </c>
      <c r="M448" s="12">
        <v>0</v>
      </c>
      <c r="N448" s="8">
        <v>0</v>
      </c>
      <c r="O448" s="53"/>
      <c r="P448" s="10"/>
      <c r="Q448" s="8"/>
    </row>
    <row r="449" spans="1:17" x14ac:dyDescent="0.25">
      <c r="A449" s="15" t="s">
        <v>52</v>
      </c>
      <c r="B449" s="15" t="s">
        <v>11</v>
      </c>
      <c r="C449" s="15" t="s">
        <v>12</v>
      </c>
      <c r="D449" s="15" t="s">
        <v>36</v>
      </c>
      <c r="E449" s="15" t="s">
        <v>50</v>
      </c>
      <c r="F449" s="15" t="s">
        <v>37</v>
      </c>
      <c r="G449" s="15" t="s">
        <v>16</v>
      </c>
      <c r="H449" s="15" t="s">
        <v>17</v>
      </c>
      <c r="I449" s="14" t="s">
        <v>38</v>
      </c>
      <c r="J449" s="14">
        <v>1</v>
      </c>
      <c r="K449" s="14"/>
      <c r="L449" s="12">
        <v>0</v>
      </c>
      <c r="M449" s="12">
        <v>0</v>
      </c>
      <c r="N449" s="10">
        <v>0</v>
      </c>
      <c r="O449" s="53"/>
      <c r="P449" s="10"/>
      <c r="Q449" s="8"/>
    </row>
    <row r="450" spans="1:17" x14ac:dyDescent="0.25">
      <c r="A450" s="3" t="s">
        <v>68</v>
      </c>
      <c r="B450" s="3" t="s">
        <v>11</v>
      </c>
      <c r="C450" s="3" t="s">
        <v>12</v>
      </c>
      <c r="D450" s="3" t="s">
        <v>36</v>
      </c>
      <c r="E450" s="3" t="s">
        <v>69</v>
      </c>
      <c r="F450" s="3" t="s">
        <v>37</v>
      </c>
      <c r="G450" s="3" t="s">
        <v>16</v>
      </c>
      <c r="H450" s="3" t="s">
        <v>17</v>
      </c>
      <c r="I450" s="4" t="s">
        <v>38</v>
      </c>
      <c r="J450" s="4">
        <v>1</v>
      </c>
      <c r="K450" s="4"/>
      <c r="L450" s="5">
        <v>0</v>
      </c>
      <c r="M450" s="12">
        <v>0</v>
      </c>
      <c r="N450" s="8">
        <v>0</v>
      </c>
      <c r="O450" s="53"/>
      <c r="P450" s="10"/>
      <c r="Q450" s="8"/>
    </row>
    <row r="451" spans="1:17" x14ac:dyDescent="0.25">
      <c r="A451" s="3" t="s">
        <v>70</v>
      </c>
      <c r="B451" s="3" t="s">
        <v>11</v>
      </c>
      <c r="C451" s="3" t="s">
        <v>12</v>
      </c>
      <c r="D451" s="3" t="s">
        <v>36</v>
      </c>
      <c r="E451" s="3" t="s">
        <v>69</v>
      </c>
      <c r="F451" s="3" t="s">
        <v>37</v>
      </c>
      <c r="G451" s="3" t="s">
        <v>16</v>
      </c>
      <c r="H451" s="3" t="s">
        <v>17</v>
      </c>
      <c r="I451" s="4" t="s">
        <v>38</v>
      </c>
      <c r="J451" s="4">
        <v>1</v>
      </c>
      <c r="K451" s="4"/>
      <c r="L451" s="5">
        <v>0</v>
      </c>
      <c r="M451" s="12">
        <v>0</v>
      </c>
      <c r="N451" s="8">
        <v>0</v>
      </c>
      <c r="O451" s="53"/>
      <c r="P451" s="10"/>
      <c r="Q451" s="8"/>
    </row>
    <row r="452" spans="1:17" x14ac:dyDescent="0.25">
      <c r="A452" s="3" t="s">
        <v>61</v>
      </c>
      <c r="B452" s="3" t="s">
        <v>11</v>
      </c>
      <c r="C452" s="3" t="s">
        <v>12</v>
      </c>
      <c r="D452" s="3" t="s">
        <v>30</v>
      </c>
      <c r="E452" s="3" t="s">
        <v>50</v>
      </c>
      <c r="F452" s="3" t="s">
        <v>15</v>
      </c>
      <c r="G452" s="3" t="s">
        <v>16</v>
      </c>
      <c r="H452" s="3" t="s">
        <v>17</v>
      </c>
      <c r="I452" s="4" t="s">
        <v>18</v>
      </c>
      <c r="J452" s="4">
        <v>3</v>
      </c>
      <c r="K452" s="4"/>
      <c r="L452" s="5">
        <v>7439.5</v>
      </c>
      <c r="M452" s="12">
        <v>8021.44</v>
      </c>
      <c r="N452" s="8">
        <v>8021.44</v>
      </c>
      <c r="O452" s="53">
        <f>'[6]6053MM'!$Q$8</f>
        <v>7960.8818160000001</v>
      </c>
      <c r="P452" s="10">
        <v>2293.4</v>
      </c>
      <c r="Q452" s="8">
        <f>'[7]6115REV'!$Q$8</f>
        <v>957.78334232999987</v>
      </c>
    </row>
    <row r="453" spans="1:17" x14ac:dyDescent="0.25">
      <c r="A453" s="15" t="s">
        <v>106</v>
      </c>
      <c r="B453" s="15" t="s">
        <v>11</v>
      </c>
      <c r="C453" s="15" t="s">
        <v>12</v>
      </c>
      <c r="D453" s="15" t="s">
        <v>36</v>
      </c>
      <c r="E453" s="15" t="s">
        <v>107</v>
      </c>
      <c r="F453" s="15" t="s">
        <v>37</v>
      </c>
      <c r="G453" s="15" t="s">
        <v>16</v>
      </c>
      <c r="H453" s="15" t="s">
        <v>17</v>
      </c>
      <c r="I453" s="14" t="s">
        <v>38</v>
      </c>
      <c r="J453" s="14">
        <v>1</v>
      </c>
      <c r="K453" s="14"/>
      <c r="L453" s="12">
        <v>0</v>
      </c>
      <c r="M453" s="12">
        <v>0</v>
      </c>
      <c r="N453" s="8">
        <v>0</v>
      </c>
      <c r="O453" s="53"/>
      <c r="P453" s="10"/>
      <c r="Q453" s="8"/>
    </row>
    <row r="454" spans="1:17" x14ac:dyDescent="0.25">
      <c r="A454" s="3" t="s">
        <v>135</v>
      </c>
      <c r="B454" s="3" t="s">
        <v>11</v>
      </c>
      <c r="C454" s="3" t="s">
        <v>12</v>
      </c>
      <c r="D454" s="3" t="s">
        <v>36</v>
      </c>
      <c r="E454" s="3" t="s">
        <v>126</v>
      </c>
      <c r="F454" s="3" t="s">
        <v>37</v>
      </c>
      <c r="G454" s="3" t="s">
        <v>16</v>
      </c>
      <c r="H454" s="3" t="s">
        <v>17</v>
      </c>
      <c r="I454" s="4" t="s">
        <v>38</v>
      </c>
      <c r="J454" s="4">
        <v>1</v>
      </c>
      <c r="K454" s="4"/>
      <c r="L454" s="5">
        <v>0</v>
      </c>
      <c r="M454" s="12">
        <v>0</v>
      </c>
      <c r="N454" s="8">
        <v>0</v>
      </c>
      <c r="O454" s="53"/>
      <c r="P454" s="10"/>
      <c r="Q454" s="8"/>
    </row>
    <row r="455" spans="1:17" x14ac:dyDescent="0.25">
      <c r="A455" s="3" t="s">
        <v>136</v>
      </c>
      <c r="B455" s="3" t="s">
        <v>11</v>
      </c>
      <c r="C455" s="3" t="s">
        <v>12</v>
      </c>
      <c r="D455" s="3" t="s">
        <v>36</v>
      </c>
      <c r="E455" s="3" t="s">
        <v>126</v>
      </c>
      <c r="F455" s="3" t="s">
        <v>37</v>
      </c>
      <c r="G455" s="3" t="s">
        <v>16</v>
      </c>
      <c r="H455" s="3" t="s">
        <v>17</v>
      </c>
      <c r="I455" s="4" t="s">
        <v>38</v>
      </c>
      <c r="J455" s="4">
        <v>1</v>
      </c>
      <c r="K455" s="4"/>
      <c r="L455" s="5">
        <v>0</v>
      </c>
      <c r="M455" s="12">
        <v>0</v>
      </c>
      <c r="N455" s="8">
        <v>0</v>
      </c>
      <c r="O455" s="53"/>
      <c r="P455" s="10"/>
      <c r="Q455" s="8"/>
    </row>
    <row r="456" spans="1:17" x14ac:dyDescent="0.25">
      <c r="A456" s="3" t="s">
        <v>65</v>
      </c>
      <c r="B456" s="3" t="s">
        <v>11</v>
      </c>
      <c r="C456" s="3" t="s">
        <v>12</v>
      </c>
      <c r="D456" s="3" t="s">
        <v>43</v>
      </c>
      <c r="E456" s="3" t="s">
        <v>50</v>
      </c>
      <c r="F456" s="3" t="s">
        <v>15</v>
      </c>
      <c r="G456" s="3" t="s">
        <v>16</v>
      </c>
      <c r="H456" s="3" t="s">
        <v>17</v>
      </c>
      <c r="I456" s="4" t="s">
        <v>18</v>
      </c>
      <c r="J456" s="4">
        <v>3</v>
      </c>
      <c r="K456" s="4"/>
      <c r="L456" s="5">
        <v>1497.36</v>
      </c>
      <c r="M456" s="12">
        <v>7285.01</v>
      </c>
      <c r="N456" s="8">
        <v>7285.01</v>
      </c>
      <c r="O456" s="53">
        <f>'[8]6053MM'!$S$8</f>
        <v>1497.36</v>
      </c>
      <c r="P456" s="10">
        <v>446.16</v>
      </c>
      <c r="Q456" s="8">
        <f>'[7]6115REV'!$S$8</f>
        <v>0</v>
      </c>
    </row>
    <row r="457" spans="1:17" x14ac:dyDescent="0.25">
      <c r="A457" s="3" t="s">
        <v>67</v>
      </c>
      <c r="B457" s="3" t="s">
        <v>11</v>
      </c>
      <c r="C457" s="3" t="s">
        <v>12</v>
      </c>
      <c r="D457" s="3" t="s">
        <v>1635</v>
      </c>
      <c r="E457" s="3" t="s">
        <v>50</v>
      </c>
      <c r="F457" s="3" t="s">
        <v>15</v>
      </c>
      <c r="G457" s="3" t="s">
        <v>16</v>
      </c>
      <c r="H457" s="3" t="s">
        <v>17</v>
      </c>
      <c r="I457" s="4" t="s">
        <v>18</v>
      </c>
      <c r="J457" s="4">
        <v>3</v>
      </c>
      <c r="K457" s="4"/>
      <c r="L457" s="5">
        <v>38400</v>
      </c>
      <c r="M457" s="12">
        <v>39796</v>
      </c>
      <c r="N457" s="8">
        <v>39796</v>
      </c>
      <c r="O457" s="53">
        <f>'[8]6053MM'!$R$8</f>
        <v>38400</v>
      </c>
      <c r="P457" s="10">
        <v>9984</v>
      </c>
      <c r="Q457" s="8">
        <f>'[7]6115REV'!$R$8</f>
        <v>26.25</v>
      </c>
    </row>
    <row r="458" spans="1:17" x14ac:dyDescent="0.25">
      <c r="A458" s="3" t="s">
        <v>80</v>
      </c>
      <c r="B458" s="3" t="s">
        <v>11</v>
      </c>
      <c r="C458" s="3" t="s">
        <v>12</v>
      </c>
      <c r="D458" s="3" t="s">
        <v>34</v>
      </c>
      <c r="E458" s="3" t="s">
        <v>69</v>
      </c>
      <c r="F458" s="3" t="s">
        <v>15</v>
      </c>
      <c r="G458" s="3" t="s">
        <v>16</v>
      </c>
      <c r="H458" s="3" t="s">
        <v>17</v>
      </c>
      <c r="I458" s="4" t="s">
        <v>18</v>
      </c>
      <c r="J458" s="4">
        <v>3</v>
      </c>
      <c r="K458" s="4"/>
      <c r="L458" s="5">
        <v>743950</v>
      </c>
      <c r="M458" s="12">
        <v>249616.32</v>
      </c>
      <c r="N458" s="8">
        <v>249616.32</v>
      </c>
      <c r="O458" s="53">
        <f>'[6]6053MM'!$E$6</f>
        <v>496899.77639999997</v>
      </c>
      <c r="P458" s="10"/>
      <c r="Q458" s="55">
        <f>'[7]6115REV'!$E$6</f>
        <v>60154.565399999992</v>
      </c>
    </row>
    <row r="459" spans="1:17" x14ac:dyDescent="0.25">
      <c r="A459" s="3" t="s">
        <v>81</v>
      </c>
      <c r="B459" s="3" t="s">
        <v>11</v>
      </c>
      <c r="C459" s="3" t="s">
        <v>12</v>
      </c>
      <c r="D459" s="3" t="s">
        <v>41</v>
      </c>
      <c r="E459" s="3" t="s">
        <v>69</v>
      </c>
      <c r="F459" s="3" t="s">
        <v>15</v>
      </c>
      <c r="G459" s="3" t="s">
        <v>16</v>
      </c>
      <c r="H459" s="3" t="s">
        <v>17</v>
      </c>
      <c r="I459" s="4" t="s">
        <v>18</v>
      </c>
      <c r="J459" s="4">
        <v>3</v>
      </c>
      <c r="K459" s="4"/>
      <c r="L459" s="5">
        <v>29161</v>
      </c>
      <c r="M459" s="12">
        <v>11664.32</v>
      </c>
      <c r="N459" s="8">
        <v>11664.32</v>
      </c>
      <c r="O459" s="53">
        <f>'[6]6053MM'!$K$6</f>
        <v>23328.639999999999</v>
      </c>
      <c r="P459" s="10"/>
      <c r="Q459" s="55">
        <f>'[7]6115REV'!$K$6</f>
        <v>13234.004387999998</v>
      </c>
    </row>
    <row r="460" spans="1:17" x14ac:dyDescent="0.25">
      <c r="A460" s="3" t="s">
        <v>83</v>
      </c>
      <c r="B460" s="3" t="s">
        <v>11</v>
      </c>
      <c r="C460" s="3" t="s">
        <v>12</v>
      </c>
      <c r="D460" s="3" t="s">
        <v>47</v>
      </c>
      <c r="E460" s="3" t="s">
        <v>69</v>
      </c>
      <c r="F460" s="3" t="s">
        <v>15</v>
      </c>
      <c r="G460" s="3" t="s">
        <v>16</v>
      </c>
      <c r="H460" s="3" t="s">
        <v>17</v>
      </c>
      <c r="I460" s="4" t="s">
        <v>18</v>
      </c>
      <c r="J460" s="4">
        <v>3</v>
      </c>
      <c r="K460" s="4"/>
      <c r="L460" s="5">
        <v>187623</v>
      </c>
      <c r="M460" s="12">
        <v>75049.399999999994</v>
      </c>
      <c r="N460" s="8">
        <v>75049.399999999994</v>
      </c>
      <c r="O460" s="53">
        <f>'[8]6053MM'!$M$6</f>
        <v>150098.79999999999</v>
      </c>
      <c r="P460" s="10"/>
      <c r="Q460" s="55">
        <f>'[7]6115REV'!$M$6</f>
        <v>0</v>
      </c>
    </row>
    <row r="461" spans="1:17" x14ac:dyDescent="0.25">
      <c r="A461" s="3" t="s">
        <v>71</v>
      </c>
      <c r="B461" s="3" t="s">
        <v>11</v>
      </c>
      <c r="C461" s="3" t="s">
        <v>12</v>
      </c>
      <c r="D461" s="3" t="s">
        <v>45</v>
      </c>
      <c r="E461" s="3" t="s">
        <v>69</v>
      </c>
      <c r="F461" s="3" t="s">
        <v>37</v>
      </c>
      <c r="G461" s="3" t="s">
        <v>16</v>
      </c>
      <c r="H461" s="3" t="s">
        <v>17</v>
      </c>
      <c r="I461" s="4" t="s">
        <v>38</v>
      </c>
      <c r="J461" s="4">
        <v>3</v>
      </c>
      <c r="K461" s="4"/>
      <c r="L461" s="5">
        <v>12000</v>
      </c>
      <c r="M461" s="12">
        <v>5600</v>
      </c>
      <c r="N461" s="8">
        <v>5600</v>
      </c>
      <c r="O461" s="53">
        <f>'[8]6053MM'!$N$6</f>
        <v>11200</v>
      </c>
      <c r="P461" s="10"/>
      <c r="Q461" s="55">
        <f>'[7]6115REV'!$N$6</f>
        <v>0</v>
      </c>
    </row>
    <row r="462" spans="1:17" x14ac:dyDescent="0.25">
      <c r="A462" s="3" t="s">
        <v>78</v>
      </c>
      <c r="B462" s="3" t="s">
        <v>11</v>
      </c>
      <c r="C462" s="3" t="s">
        <v>12</v>
      </c>
      <c r="D462" s="3" t="s">
        <v>30</v>
      </c>
      <c r="E462" s="3" t="s">
        <v>69</v>
      </c>
      <c r="F462" s="3" t="s">
        <v>15</v>
      </c>
      <c r="G462" s="3" t="s">
        <v>16</v>
      </c>
      <c r="H462" s="3" t="s">
        <v>17</v>
      </c>
      <c r="I462" s="4" t="s">
        <v>18</v>
      </c>
      <c r="J462" s="4">
        <v>3</v>
      </c>
      <c r="K462" s="4"/>
      <c r="L462" s="5">
        <v>6199.5</v>
      </c>
      <c r="M462" s="12">
        <v>2496.16</v>
      </c>
      <c r="N462" s="8">
        <v>2496.16</v>
      </c>
      <c r="O462" s="53">
        <f>'[6]6053MM'!$Q$6</f>
        <v>4968.9977639999997</v>
      </c>
      <c r="P462" s="10"/>
      <c r="Q462" s="55">
        <f>'[7]6115REV'!$Q$6</f>
        <v>601.5456539999999</v>
      </c>
    </row>
    <row r="463" spans="1:17" x14ac:dyDescent="0.25">
      <c r="A463" s="3" t="s">
        <v>82</v>
      </c>
      <c r="B463" s="3" t="s">
        <v>11</v>
      </c>
      <c r="C463" s="3" t="s">
        <v>12</v>
      </c>
      <c r="D463" s="3" t="s">
        <v>43</v>
      </c>
      <c r="E463" s="3" t="s">
        <v>69</v>
      </c>
      <c r="F463" s="3" t="s">
        <v>15</v>
      </c>
      <c r="G463" s="3" t="s">
        <v>16</v>
      </c>
      <c r="H463" s="3" t="s">
        <v>17</v>
      </c>
      <c r="I463" s="4" t="s">
        <v>18</v>
      </c>
      <c r="J463" s="4">
        <v>3</v>
      </c>
      <c r="K463" s="4"/>
      <c r="L463" s="5">
        <v>1497.36</v>
      </c>
      <c r="M463" s="12">
        <v>1497.36</v>
      </c>
      <c r="N463" s="8">
        <v>1497.36</v>
      </c>
      <c r="O463" s="53">
        <f>'[8]6053MM'!$S$6</f>
        <v>1497.36</v>
      </c>
      <c r="P463" s="10"/>
      <c r="Q463" s="8">
        <f>'[7]6115REV'!$S$6</f>
        <v>0</v>
      </c>
    </row>
    <row r="464" spans="1:17" x14ac:dyDescent="0.25">
      <c r="A464" s="3" t="s">
        <v>84</v>
      </c>
      <c r="B464" s="3" t="s">
        <v>11</v>
      </c>
      <c r="C464" s="3" t="s">
        <v>12</v>
      </c>
      <c r="D464" s="3" t="s">
        <v>1635</v>
      </c>
      <c r="E464" s="3" t="s">
        <v>69</v>
      </c>
      <c r="F464" s="3" t="s">
        <v>15</v>
      </c>
      <c r="G464" s="3" t="s">
        <v>16</v>
      </c>
      <c r="H464" s="3" t="s">
        <v>17</v>
      </c>
      <c r="I464" s="4" t="s">
        <v>18</v>
      </c>
      <c r="J464" s="4">
        <v>3</v>
      </c>
      <c r="K464" s="4"/>
      <c r="L464" s="5">
        <v>32000</v>
      </c>
      <c r="M464" s="12">
        <v>12800</v>
      </c>
      <c r="N464" s="8">
        <v>12800</v>
      </c>
      <c r="O464" s="53">
        <f>'[8]6053MM'!$R$6</f>
        <v>25600</v>
      </c>
      <c r="P464" s="10"/>
      <c r="Q464" s="55">
        <f>'[7]6115REV'!$R$6</f>
        <v>43.75</v>
      </c>
    </row>
    <row r="465" spans="1:17" x14ac:dyDescent="0.25">
      <c r="A465" s="3" t="s">
        <v>98</v>
      </c>
      <c r="B465" s="3" t="s">
        <v>11</v>
      </c>
      <c r="C465" s="3" t="s">
        <v>89</v>
      </c>
      <c r="D465" s="3" t="s">
        <v>34</v>
      </c>
      <c r="E465" s="3" t="s">
        <v>90</v>
      </c>
      <c r="F465" s="3" t="s">
        <v>15</v>
      </c>
      <c r="G465" s="3" t="s">
        <v>16</v>
      </c>
      <c r="H465" s="3" t="s">
        <v>17</v>
      </c>
      <c r="I465" s="4" t="s">
        <v>18</v>
      </c>
      <c r="J465" s="4">
        <v>3</v>
      </c>
      <c r="K465" s="4"/>
      <c r="L465" s="5">
        <v>630182</v>
      </c>
      <c r="M465" s="12">
        <v>389931.44</v>
      </c>
      <c r="N465" s="8">
        <v>389931.44</v>
      </c>
      <c r="O465" s="53">
        <f>'[6]6053MM'!$E$4</f>
        <v>631367.65619999997</v>
      </c>
      <c r="P465" s="10"/>
      <c r="Q465" s="55">
        <f>'[7]6115REV'!$E$4</f>
        <v>60154.554749999988</v>
      </c>
    </row>
    <row r="466" spans="1:17" x14ac:dyDescent="0.25">
      <c r="A466" s="3" t="s">
        <v>100</v>
      </c>
      <c r="B466" s="3" t="s">
        <v>11</v>
      </c>
      <c r="C466" s="3" t="s">
        <v>89</v>
      </c>
      <c r="D466" s="3" t="s">
        <v>41</v>
      </c>
      <c r="E466" s="3" t="s">
        <v>90</v>
      </c>
      <c r="F466" s="3" t="s">
        <v>15</v>
      </c>
      <c r="G466" s="3" t="s">
        <v>16</v>
      </c>
      <c r="H466" s="3" t="s">
        <v>17</v>
      </c>
      <c r="I466" s="4" t="s">
        <v>18</v>
      </c>
      <c r="J466" s="4">
        <v>3</v>
      </c>
      <c r="K466" s="4"/>
      <c r="L466" s="5">
        <v>29642</v>
      </c>
      <c r="M466" s="12">
        <v>19761.12</v>
      </c>
      <c r="N466" s="8">
        <v>19761.12</v>
      </c>
      <c r="O466" s="53">
        <f>'[6]6053MM'!$K$4</f>
        <v>29641.68</v>
      </c>
      <c r="P466" s="10"/>
      <c r="Q466" s="55">
        <f>'[7]6115REV'!$K$4</f>
        <v>13234.002044999997</v>
      </c>
    </row>
    <row r="467" spans="1:17" x14ac:dyDescent="0.25">
      <c r="A467" s="3" t="s">
        <v>99</v>
      </c>
      <c r="B467" s="3" t="s">
        <v>11</v>
      </c>
      <c r="C467" s="3" t="s">
        <v>89</v>
      </c>
      <c r="D467" s="3" t="s">
        <v>36</v>
      </c>
      <c r="E467" s="3" t="s">
        <v>90</v>
      </c>
      <c r="F467" s="3" t="s">
        <v>15</v>
      </c>
      <c r="G467" s="3" t="s">
        <v>16</v>
      </c>
      <c r="H467" s="3" t="s">
        <v>17</v>
      </c>
      <c r="I467" s="4" t="s">
        <v>18</v>
      </c>
      <c r="J467" s="4">
        <v>3</v>
      </c>
      <c r="K467" s="4"/>
      <c r="L467" s="5">
        <v>45372</v>
      </c>
      <c r="M467" s="12">
        <v>29068</v>
      </c>
      <c r="N467" s="8">
        <v>29068</v>
      </c>
      <c r="O467" s="53">
        <f>'[6]6053MM'!$L$4</f>
        <v>45372</v>
      </c>
      <c r="P467" s="10"/>
      <c r="Q467" s="55">
        <f>'[7]6115REV'!$L$4</f>
        <v>0</v>
      </c>
    </row>
    <row r="468" spans="1:17" x14ac:dyDescent="0.25">
      <c r="A468" s="3" t="s">
        <v>103</v>
      </c>
      <c r="B468" s="3" t="s">
        <v>11</v>
      </c>
      <c r="C468" s="3" t="s">
        <v>89</v>
      </c>
      <c r="D468" s="3" t="s">
        <v>47</v>
      </c>
      <c r="E468" s="3" t="s">
        <v>90</v>
      </c>
      <c r="F468" s="3" t="s">
        <v>15</v>
      </c>
      <c r="G468" s="3" t="s">
        <v>16</v>
      </c>
      <c r="H468" s="3" t="s">
        <v>17</v>
      </c>
      <c r="I468" s="4" t="s">
        <v>18</v>
      </c>
      <c r="J468" s="4">
        <v>3</v>
      </c>
      <c r="K468" s="4"/>
      <c r="L468" s="5">
        <v>313703</v>
      </c>
      <c r="M468" s="12">
        <v>202294.23</v>
      </c>
      <c r="N468" s="8">
        <v>202294.23</v>
      </c>
      <c r="O468" s="53">
        <f>'[6]6053MM'!$M$4</f>
        <v>313702.64280000003</v>
      </c>
      <c r="P468" s="10"/>
      <c r="Q468" s="55">
        <f>'[7]6115REV'!$M$4</f>
        <v>0</v>
      </c>
    </row>
    <row r="469" spans="1:17" x14ac:dyDescent="0.25">
      <c r="A469" s="3" t="s">
        <v>102</v>
      </c>
      <c r="B469" s="3" t="s">
        <v>11</v>
      </c>
      <c r="C469" s="3" t="s">
        <v>12</v>
      </c>
      <c r="D469" s="3" t="s">
        <v>45</v>
      </c>
      <c r="E469" s="3" t="s">
        <v>90</v>
      </c>
      <c r="F469" s="3" t="s">
        <v>37</v>
      </c>
      <c r="G469" s="3" t="s">
        <v>16</v>
      </c>
      <c r="H469" s="3" t="s">
        <v>17</v>
      </c>
      <c r="I469" s="4" t="s">
        <v>38</v>
      </c>
      <c r="J469" s="4">
        <v>3</v>
      </c>
      <c r="K469" s="4"/>
      <c r="L469" s="5">
        <v>12000</v>
      </c>
      <c r="M469" s="12">
        <v>7000</v>
      </c>
      <c r="N469" s="8">
        <v>7000</v>
      </c>
      <c r="O469" s="53">
        <f>'[8]6053MM'!$N$4</f>
        <v>16800</v>
      </c>
      <c r="P469" s="10"/>
      <c r="Q469" s="55">
        <f>'[7]6115REV'!$N$4</f>
        <v>0</v>
      </c>
    </row>
    <row r="470" spans="1:17" x14ac:dyDescent="0.25">
      <c r="A470" s="3" t="s">
        <v>96</v>
      </c>
      <c r="B470" s="3" t="s">
        <v>11</v>
      </c>
      <c r="C470" s="3" t="s">
        <v>89</v>
      </c>
      <c r="D470" s="3" t="s">
        <v>30</v>
      </c>
      <c r="E470" s="3" t="s">
        <v>90</v>
      </c>
      <c r="F470" s="3" t="s">
        <v>15</v>
      </c>
      <c r="G470" s="3" t="s">
        <v>16</v>
      </c>
      <c r="H470" s="3" t="s">
        <v>17</v>
      </c>
      <c r="I470" s="4" t="s">
        <v>18</v>
      </c>
      <c r="J470" s="4">
        <v>3</v>
      </c>
      <c r="K470" s="4"/>
      <c r="L470" s="5">
        <v>6301.82</v>
      </c>
      <c r="M470" s="12">
        <v>4730.1000000000004</v>
      </c>
      <c r="N470" s="8">
        <v>4730.1000000000004</v>
      </c>
      <c r="O470" s="53">
        <f>'[6]6053MM'!$Q$4</f>
        <v>6313.6765619999996</v>
      </c>
      <c r="P470" s="10"/>
      <c r="Q470" s="55">
        <f>'[7]6115REV'!$Q$4</f>
        <v>601.54554749999988</v>
      </c>
    </row>
    <row r="471" spans="1:17" x14ac:dyDescent="0.25">
      <c r="A471" s="3" t="s">
        <v>101</v>
      </c>
      <c r="B471" s="3" t="s">
        <v>11</v>
      </c>
      <c r="C471" s="3" t="s">
        <v>89</v>
      </c>
      <c r="D471" s="3" t="s">
        <v>43</v>
      </c>
      <c r="E471" s="3" t="s">
        <v>90</v>
      </c>
      <c r="F471" s="3" t="s">
        <v>15</v>
      </c>
      <c r="G471" s="3" t="s">
        <v>16</v>
      </c>
      <c r="H471" s="3" t="s">
        <v>17</v>
      </c>
      <c r="I471" s="4" t="s">
        <v>18</v>
      </c>
      <c r="J471" s="4">
        <v>3</v>
      </c>
      <c r="K471" s="4"/>
      <c r="L471" s="5">
        <v>1497.36</v>
      </c>
      <c r="M471" s="12">
        <v>5355.79</v>
      </c>
      <c r="N471" s="8">
        <v>5355.79</v>
      </c>
      <c r="O471" s="53">
        <f>'[8]6053MM'!$S$4</f>
        <v>1497.36</v>
      </c>
      <c r="P471" s="10"/>
      <c r="Q471" s="53">
        <f>'[7]6115REV'!$S$4</f>
        <v>0</v>
      </c>
    </row>
    <row r="472" spans="1:17" x14ac:dyDescent="0.25">
      <c r="A472" s="3" t="s">
        <v>105</v>
      </c>
      <c r="B472" s="3" t="s">
        <v>11</v>
      </c>
      <c r="C472" s="3" t="s">
        <v>89</v>
      </c>
      <c r="D472" s="3" t="s">
        <v>1635</v>
      </c>
      <c r="E472" s="3" t="s">
        <v>90</v>
      </c>
      <c r="F472" s="3" t="s">
        <v>15</v>
      </c>
      <c r="G472" s="3" t="s">
        <v>16</v>
      </c>
      <c r="H472" s="3" t="s">
        <v>17</v>
      </c>
      <c r="I472" s="4" t="s">
        <v>18</v>
      </c>
      <c r="J472" s="4">
        <v>3</v>
      </c>
      <c r="K472" s="4"/>
      <c r="L472" s="5">
        <v>38400</v>
      </c>
      <c r="M472" s="12">
        <v>25600</v>
      </c>
      <c r="N472" s="8">
        <v>25600</v>
      </c>
      <c r="O472" s="53">
        <f>'[8]6053MM'!$R$4</f>
        <v>38400</v>
      </c>
      <c r="P472" s="10"/>
      <c r="Q472" s="55">
        <f>'[7]6115REV'!$R$4</f>
        <v>43.75</v>
      </c>
    </row>
    <row r="473" spans="1:17" x14ac:dyDescent="0.25">
      <c r="A473" s="3" t="s">
        <v>113</v>
      </c>
      <c r="B473" s="3" t="s">
        <v>11</v>
      </c>
      <c r="C473" s="3" t="s">
        <v>12</v>
      </c>
      <c r="D473" s="3" t="s">
        <v>34</v>
      </c>
      <c r="E473" s="3" t="s">
        <v>107</v>
      </c>
      <c r="F473" s="3" t="s">
        <v>15</v>
      </c>
      <c r="G473" s="3" t="s">
        <v>16</v>
      </c>
      <c r="H473" s="3" t="s">
        <v>17</v>
      </c>
      <c r="I473" s="4" t="s">
        <v>18</v>
      </c>
      <c r="J473" s="4">
        <v>3</v>
      </c>
      <c r="K473" s="4"/>
      <c r="L473" s="5">
        <v>901566</v>
      </c>
      <c r="M473" s="12">
        <v>1028252.16</v>
      </c>
      <c r="N473" s="8">
        <v>1028252.16</v>
      </c>
      <c r="O473" s="53">
        <f>'[6]6053MM'!$E$5</f>
        <v>1128440.5164000001</v>
      </c>
      <c r="P473" s="10">
        <v>266763.19</v>
      </c>
      <c r="Q473" s="8">
        <f>'[7]6115REV'!$E$5</f>
        <v>141011.21849999999</v>
      </c>
    </row>
    <row r="474" spans="1:17" x14ac:dyDescent="0.25">
      <c r="A474" s="3" t="s">
        <v>114</v>
      </c>
      <c r="B474" s="3" t="s">
        <v>11</v>
      </c>
      <c r="C474" s="3" t="s">
        <v>12</v>
      </c>
      <c r="D474" s="3" t="s">
        <v>41</v>
      </c>
      <c r="E474" s="3" t="s">
        <v>107</v>
      </c>
      <c r="F474" s="3" t="s">
        <v>15</v>
      </c>
      <c r="G474" s="3" t="s">
        <v>16</v>
      </c>
      <c r="H474" s="3" t="s">
        <v>17</v>
      </c>
      <c r="I474" s="4" t="s">
        <v>18</v>
      </c>
      <c r="J474" s="4">
        <v>3</v>
      </c>
      <c r="K474" s="4"/>
      <c r="L474" s="5">
        <v>61710</v>
      </c>
      <c r="M474" s="12">
        <v>51412.62</v>
      </c>
      <c r="N474" s="8">
        <v>51412.62</v>
      </c>
      <c r="O474" s="53">
        <f>'[6]6053MM'!$K$5</f>
        <v>52978.44</v>
      </c>
      <c r="P474" s="10">
        <v>13244.61</v>
      </c>
      <c r="Q474" s="8">
        <f>'[7]6115REV'!$K$5</f>
        <v>31022.468069999999</v>
      </c>
    </row>
    <row r="475" spans="1:17" x14ac:dyDescent="0.25">
      <c r="A475" s="3" t="s">
        <v>122</v>
      </c>
      <c r="B475" s="3" t="s">
        <v>11</v>
      </c>
      <c r="C475" s="3" t="s">
        <v>12</v>
      </c>
      <c r="D475" s="3" t="s">
        <v>47</v>
      </c>
      <c r="E475" s="3" t="s">
        <v>107</v>
      </c>
      <c r="F475" s="3" t="s">
        <v>15</v>
      </c>
      <c r="G475" s="3" t="s">
        <v>16</v>
      </c>
      <c r="H475" s="3" t="s">
        <v>17</v>
      </c>
      <c r="I475" s="4" t="s">
        <v>18</v>
      </c>
      <c r="J475" s="4">
        <v>3</v>
      </c>
      <c r="K475" s="4"/>
      <c r="L475" s="5">
        <v>128400</v>
      </c>
      <c r="M475" s="12">
        <v>120000</v>
      </c>
      <c r="N475" s="8">
        <v>120000</v>
      </c>
      <c r="O475" s="53">
        <f>'[8]6053MM'!$M$5</f>
        <v>128040</v>
      </c>
      <c r="P475" s="10">
        <v>30000</v>
      </c>
      <c r="Q475" s="8">
        <f>'[7]6115REV'!$M$5</f>
        <v>0</v>
      </c>
    </row>
    <row r="476" spans="1:17" x14ac:dyDescent="0.25">
      <c r="A476" s="3" t="s">
        <v>108</v>
      </c>
      <c r="B476" s="3" t="s">
        <v>11</v>
      </c>
      <c r="C476" s="3" t="s">
        <v>12</v>
      </c>
      <c r="D476" s="3" t="s">
        <v>45</v>
      </c>
      <c r="E476" s="3" t="s">
        <v>107</v>
      </c>
      <c r="F476" s="3" t="s">
        <v>37</v>
      </c>
      <c r="G476" s="3" t="s">
        <v>16</v>
      </c>
      <c r="H476" s="3" t="s">
        <v>17</v>
      </c>
      <c r="I476" s="4" t="s">
        <v>38</v>
      </c>
      <c r="J476" s="4">
        <v>3</v>
      </c>
      <c r="K476" s="4"/>
      <c r="L476" s="5">
        <v>16000</v>
      </c>
      <c r="M476" s="12">
        <v>12600</v>
      </c>
      <c r="N476" s="8">
        <v>12600</v>
      </c>
      <c r="O476" s="53">
        <f>'[8]6053MM'!$N$5</f>
        <v>16800</v>
      </c>
      <c r="P476" s="10">
        <v>4200</v>
      </c>
      <c r="Q476" s="8">
        <f>'[7]6115REV'!$N$5</f>
        <v>0</v>
      </c>
    </row>
    <row r="477" spans="1:17" x14ac:dyDescent="0.25">
      <c r="A477" s="3" t="s">
        <v>118</v>
      </c>
      <c r="B477" s="3" t="s">
        <v>11</v>
      </c>
      <c r="C477" s="3" t="s">
        <v>12</v>
      </c>
      <c r="D477" s="3" t="s">
        <v>30</v>
      </c>
      <c r="E477" s="3" t="s">
        <v>107</v>
      </c>
      <c r="F477" s="3" t="s">
        <v>15</v>
      </c>
      <c r="G477" s="3" t="s">
        <v>16</v>
      </c>
      <c r="H477" s="3" t="s">
        <v>17</v>
      </c>
      <c r="I477" s="4" t="s">
        <v>18</v>
      </c>
      <c r="J477" s="4">
        <v>3</v>
      </c>
      <c r="K477" s="4"/>
      <c r="L477" s="5">
        <v>10255.58</v>
      </c>
      <c r="M477" s="12">
        <v>10539.92</v>
      </c>
      <c r="N477" s="8">
        <v>10539.92</v>
      </c>
      <c r="O477" s="53">
        <f>'[6]6053MM'!$Q$5</f>
        <v>11284.405164000002</v>
      </c>
      <c r="P477" s="10">
        <v>2806.37</v>
      </c>
      <c r="Q477" s="8">
        <f>'[7]6115REV'!$Q$5</f>
        <v>1410.112185</v>
      </c>
    </row>
    <row r="478" spans="1:17" x14ac:dyDescent="0.25">
      <c r="A478" s="3" t="s">
        <v>115</v>
      </c>
      <c r="B478" s="3" t="s">
        <v>11</v>
      </c>
      <c r="C478" s="3" t="s">
        <v>12</v>
      </c>
      <c r="D478" s="3" t="s">
        <v>43</v>
      </c>
      <c r="E478" s="3" t="s">
        <v>107</v>
      </c>
      <c r="F478" s="3" t="s">
        <v>15</v>
      </c>
      <c r="G478" s="3" t="s">
        <v>16</v>
      </c>
      <c r="H478" s="3" t="s">
        <v>17</v>
      </c>
      <c r="I478" s="4" t="s">
        <v>18</v>
      </c>
      <c r="J478" s="4">
        <v>3</v>
      </c>
      <c r="K478" s="4"/>
      <c r="L478" s="5">
        <v>1497.36</v>
      </c>
      <c r="M478" s="12">
        <v>7285.01</v>
      </c>
      <c r="N478" s="8">
        <v>7285.01</v>
      </c>
      <c r="O478" s="8">
        <f>'[8]6053MM'!$S$5</f>
        <v>1497.36</v>
      </c>
      <c r="P478" s="10">
        <v>446.16</v>
      </c>
      <c r="Q478" s="8">
        <f>'[7]6115REV'!$S$5</f>
        <v>0</v>
      </c>
    </row>
    <row r="479" spans="1:17" x14ac:dyDescent="0.25">
      <c r="A479" s="3" t="s">
        <v>123</v>
      </c>
      <c r="B479" s="3" t="s">
        <v>11</v>
      </c>
      <c r="C479" s="3" t="s">
        <v>12</v>
      </c>
      <c r="D479" s="3" t="s">
        <v>1635</v>
      </c>
      <c r="E479" s="3" t="s">
        <v>107</v>
      </c>
      <c r="F479" s="3" t="s">
        <v>15</v>
      </c>
      <c r="G479" s="3" t="s">
        <v>16</v>
      </c>
      <c r="H479" s="3" t="s">
        <v>17</v>
      </c>
      <c r="I479" s="4" t="s">
        <v>18</v>
      </c>
      <c r="J479" s="4">
        <v>3</v>
      </c>
      <c r="K479" s="4"/>
      <c r="L479" s="5">
        <v>46776</v>
      </c>
      <c r="M479" s="12">
        <v>43984.12</v>
      </c>
      <c r="N479" s="8">
        <v>43984.12</v>
      </c>
      <c r="O479" s="8">
        <f>'[8]6053MM'!$R$5</f>
        <v>46776.24</v>
      </c>
      <c r="P479" s="10">
        <v>12161.82</v>
      </c>
      <c r="Q479" s="8">
        <f>'[7]6115REV'!$R$5</f>
        <v>43.75</v>
      </c>
    </row>
    <row r="480" spans="1:17" x14ac:dyDescent="0.25">
      <c r="A480" s="3" t="s">
        <v>134</v>
      </c>
      <c r="B480" s="3" t="s">
        <v>11</v>
      </c>
      <c r="C480" s="3" t="s">
        <v>12</v>
      </c>
      <c r="D480" s="3" t="s">
        <v>34</v>
      </c>
      <c r="E480" s="3" t="s">
        <v>126</v>
      </c>
      <c r="F480" s="3" t="s">
        <v>15</v>
      </c>
      <c r="G480" s="3" t="s">
        <v>16</v>
      </c>
      <c r="H480" s="3" t="s">
        <v>17</v>
      </c>
      <c r="I480" s="4" t="s">
        <v>18</v>
      </c>
      <c r="J480" s="4">
        <v>3</v>
      </c>
      <c r="K480" s="4"/>
      <c r="L480" s="5">
        <v>760162</v>
      </c>
      <c r="M480" s="12">
        <v>555549.98</v>
      </c>
      <c r="N480" s="8">
        <v>555549.98</v>
      </c>
      <c r="O480" s="53">
        <f>'[6]6053MM'!$E$7</f>
        <v>761592.66119999997</v>
      </c>
      <c r="P480" s="10"/>
      <c r="Q480" s="55">
        <f>'[7]6115REV'!$E$7</f>
        <v>44818.629300000001</v>
      </c>
    </row>
    <row r="481" spans="1:17" x14ac:dyDescent="0.25">
      <c r="A481" s="56"/>
      <c r="B481" s="3"/>
      <c r="C481" s="3"/>
      <c r="D481" s="3" t="s">
        <v>41</v>
      </c>
      <c r="E481" s="3"/>
      <c r="F481" s="3"/>
      <c r="G481" s="3"/>
      <c r="H481" s="3"/>
      <c r="I481" s="4"/>
      <c r="J481" s="4"/>
      <c r="K481" s="4"/>
      <c r="L481" s="5"/>
      <c r="M481" s="12"/>
      <c r="N481" s="8"/>
      <c r="O481" s="53">
        <v>0</v>
      </c>
      <c r="P481" s="10"/>
      <c r="Q481" s="55">
        <f>'[7]6115REV'!$K$7</f>
        <v>9860.098446</v>
      </c>
    </row>
    <row r="482" spans="1:17" x14ac:dyDescent="0.25">
      <c r="A482" s="56"/>
      <c r="B482" s="3"/>
      <c r="C482" s="3"/>
      <c r="D482" s="3" t="s">
        <v>36</v>
      </c>
      <c r="E482" s="3"/>
      <c r="F482" s="3"/>
      <c r="G482" s="3"/>
      <c r="H482" s="3"/>
      <c r="I482" s="4"/>
      <c r="J482" s="4"/>
      <c r="K482" s="4"/>
      <c r="L482" s="5"/>
      <c r="M482" s="12"/>
      <c r="N482" s="8"/>
      <c r="O482" s="53">
        <v>0</v>
      </c>
      <c r="P482" s="10"/>
      <c r="Q482" s="55">
        <f>'[7]6115REV'!$L$7</f>
        <v>0</v>
      </c>
    </row>
    <row r="483" spans="1:17" x14ac:dyDescent="0.25">
      <c r="A483" s="3" t="s">
        <v>139</v>
      </c>
      <c r="B483" s="3" t="s">
        <v>11</v>
      </c>
      <c r="C483" s="3" t="s">
        <v>12</v>
      </c>
      <c r="D483" s="3" t="s">
        <v>47</v>
      </c>
      <c r="E483" s="3" t="s">
        <v>126</v>
      </c>
      <c r="F483" s="3" t="s">
        <v>15</v>
      </c>
      <c r="G483" s="3" t="s">
        <v>16</v>
      </c>
      <c r="H483" s="3" t="s">
        <v>17</v>
      </c>
      <c r="I483" s="4" t="s">
        <v>18</v>
      </c>
      <c r="J483" s="4">
        <v>3</v>
      </c>
      <c r="K483" s="4"/>
      <c r="L483" s="5">
        <v>350960</v>
      </c>
      <c r="M483" s="12">
        <v>146233.37</v>
      </c>
      <c r="N483" s="8">
        <v>146233.37</v>
      </c>
      <c r="O483" s="53">
        <f>'[8]6053MM'!$M$7</f>
        <v>350960.08559999999</v>
      </c>
      <c r="P483" s="10"/>
      <c r="Q483" s="55">
        <f>'[7]6115REV'!$M$7</f>
        <v>0</v>
      </c>
    </row>
    <row r="484" spans="1:17" x14ac:dyDescent="0.25">
      <c r="A484" s="3" t="s">
        <v>138</v>
      </c>
      <c r="B484" s="3" t="s">
        <v>11</v>
      </c>
      <c r="C484" s="3" t="s">
        <v>12</v>
      </c>
      <c r="D484" s="3" t="s">
        <v>45</v>
      </c>
      <c r="E484" s="3" t="s">
        <v>126</v>
      </c>
      <c r="F484" s="3" t="s">
        <v>37</v>
      </c>
      <c r="G484" s="3" t="s">
        <v>16</v>
      </c>
      <c r="H484" s="3" t="s">
        <v>17</v>
      </c>
      <c r="I484" s="4" t="s">
        <v>38</v>
      </c>
      <c r="J484" s="4">
        <v>3</v>
      </c>
      <c r="K484" s="4"/>
      <c r="L484" s="5">
        <v>12000</v>
      </c>
      <c r="M484" s="12">
        <v>7000</v>
      </c>
      <c r="N484" s="8">
        <v>7000</v>
      </c>
      <c r="O484" s="53">
        <f>'[8]6053MM'!$N$7</f>
        <v>16800</v>
      </c>
      <c r="P484" s="10"/>
      <c r="Q484" s="55">
        <f>'[7]6115REV'!$N$7</f>
        <v>0</v>
      </c>
    </row>
    <row r="485" spans="1:17" x14ac:dyDescent="0.25">
      <c r="A485" s="3" t="s">
        <v>132</v>
      </c>
      <c r="B485" s="3" t="s">
        <v>11</v>
      </c>
      <c r="C485" s="3" t="s">
        <v>12</v>
      </c>
      <c r="D485" s="3" t="s">
        <v>30</v>
      </c>
      <c r="E485" s="3" t="s">
        <v>126</v>
      </c>
      <c r="F485" s="3" t="s">
        <v>15</v>
      </c>
      <c r="G485" s="3" t="s">
        <v>16</v>
      </c>
      <c r="H485" s="3" t="s">
        <v>17</v>
      </c>
      <c r="I485" s="4" t="s">
        <v>18</v>
      </c>
      <c r="J485" s="4">
        <v>3</v>
      </c>
      <c r="K485" s="4"/>
      <c r="L485" s="5">
        <v>7601.62</v>
      </c>
      <c r="M485" s="12">
        <v>5555.5</v>
      </c>
      <c r="N485" s="8">
        <v>5555.5</v>
      </c>
      <c r="O485" s="53">
        <f>'[6]6053MM'!$Q$7</f>
        <v>7615.9266120000002</v>
      </c>
      <c r="P485" s="10"/>
      <c r="Q485" s="55">
        <f>'[7]6115REV'!$Q$7</f>
        <v>448.18629300000003</v>
      </c>
    </row>
    <row r="486" spans="1:17" x14ac:dyDescent="0.25">
      <c r="A486" s="3" t="s">
        <v>137</v>
      </c>
      <c r="B486" s="3" t="s">
        <v>11</v>
      </c>
      <c r="C486" s="3" t="s">
        <v>12</v>
      </c>
      <c r="D486" s="3" t="s">
        <v>43</v>
      </c>
      <c r="E486" s="3" t="s">
        <v>126</v>
      </c>
      <c r="F486" s="3" t="s">
        <v>15</v>
      </c>
      <c r="G486" s="3" t="s">
        <v>16</v>
      </c>
      <c r="H486" s="3" t="s">
        <v>17</v>
      </c>
      <c r="I486" s="4" t="s">
        <v>18</v>
      </c>
      <c r="J486" s="4">
        <v>3</v>
      </c>
      <c r="K486" s="4"/>
      <c r="L486" s="5">
        <v>1497.36</v>
      </c>
      <c r="M486" s="12">
        <v>2461.9699999999998</v>
      </c>
      <c r="N486" s="8">
        <v>2461.9699999999998</v>
      </c>
      <c r="O486" s="53">
        <f>'[8]6053MM'!$S$7</f>
        <v>1497.36</v>
      </c>
      <c r="P486" s="10"/>
      <c r="Q486" s="53">
        <f>'[7]6115REV'!$S$7</f>
        <v>0</v>
      </c>
    </row>
    <row r="487" spans="1:17" x14ac:dyDescent="0.25">
      <c r="A487" s="3" t="s">
        <v>141</v>
      </c>
      <c r="B487" s="3" t="s">
        <v>11</v>
      </c>
      <c r="C487" s="3" t="s">
        <v>12</v>
      </c>
      <c r="D487" s="3" t="s">
        <v>1635</v>
      </c>
      <c r="E487" s="3" t="s">
        <v>126</v>
      </c>
      <c r="F487" s="3" t="s">
        <v>37</v>
      </c>
      <c r="G487" s="3" t="s">
        <v>16</v>
      </c>
      <c r="H487" s="3" t="s">
        <v>17</v>
      </c>
      <c r="I487" s="4" t="s">
        <v>38</v>
      </c>
      <c r="J487" s="4">
        <v>1</v>
      </c>
      <c r="K487" s="4"/>
      <c r="L487" s="5">
        <v>0</v>
      </c>
      <c r="M487" s="12">
        <v>0</v>
      </c>
      <c r="N487" s="8">
        <v>0</v>
      </c>
      <c r="O487" s="53"/>
      <c r="P487" s="10"/>
      <c r="Q487" s="55">
        <f t="shared" ref="Q487:Q488" si="0">P487*1.0665</f>
        <v>0</v>
      </c>
    </row>
    <row r="488" spans="1:17" x14ac:dyDescent="0.25">
      <c r="A488" s="3" t="s">
        <v>51</v>
      </c>
      <c r="B488" s="3" t="s">
        <v>11</v>
      </c>
      <c r="C488" s="3" t="s">
        <v>12</v>
      </c>
      <c r="D488" s="3" t="s">
        <v>1635</v>
      </c>
      <c r="E488" s="3" t="s">
        <v>126</v>
      </c>
      <c r="F488" s="3" t="s">
        <v>37</v>
      </c>
      <c r="G488" s="3" t="s">
        <v>16</v>
      </c>
      <c r="H488" s="3" t="s">
        <v>17</v>
      </c>
      <c r="I488" s="4" t="s">
        <v>38</v>
      </c>
      <c r="J488" s="4">
        <v>1</v>
      </c>
      <c r="K488" s="4"/>
      <c r="L488" s="5">
        <v>0</v>
      </c>
      <c r="M488" s="12">
        <v>0</v>
      </c>
      <c r="N488" s="8">
        <v>0</v>
      </c>
      <c r="O488" s="53"/>
      <c r="P488" s="10"/>
      <c r="Q488" s="55">
        <f t="shared" si="0"/>
        <v>0</v>
      </c>
    </row>
    <row r="489" spans="1:17" x14ac:dyDescent="0.25">
      <c r="A489" s="51" t="s">
        <v>141</v>
      </c>
      <c r="B489" s="3"/>
      <c r="C489" s="3"/>
      <c r="D489" s="3" t="s">
        <v>1635</v>
      </c>
      <c r="E489" s="3" t="s">
        <v>126</v>
      </c>
      <c r="F489" s="3"/>
      <c r="G489" s="3"/>
      <c r="H489" s="3"/>
      <c r="I489" s="4"/>
      <c r="J489" s="4"/>
      <c r="K489" s="4"/>
      <c r="L489" s="5">
        <v>0</v>
      </c>
      <c r="M489" s="12">
        <v>0</v>
      </c>
      <c r="N489" s="8">
        <v>0</v>
      </c>
      <c r="O489" s="53">
        <f>'[8]6053MM'!$R$7</f>
        <v>38400</v>
      </c>
      <c r="P489" s="10"/>
      <c r="Q489" s="55">
        <f>'[7]6115REV'!$R$7</f>
        <v>26.25</v>
      </c>
    </row>
    <row r="491" spans="1:17" x14ac:dyDescent="0.25">
      <c r="H491" s="18" t="s">
        <v>1815</v>
      </c>
      <c r="O491" s="63">
        <f>SUM(O2:O489)</f>
        <v>158282720.12947133</v>
      </c>
      <c r="P491" s="63">
        <f t="shared" ref="P491:Q491" si="1">SUM(P2:P489)</f>
        <v>31357842.149999984</v>
      </c>
      <c r="Q491" s="63" t="e">
        <f t="shared" si="1"/>
        <v>#REF!</v>
      </c>
    </row>
    <row r="493" spans="1:17" x14ac:dyDescent="0.25">
      <c r="O493" s="64">
        <v>164551021.97999999</v>
      </c>
      <c r="Q493" s="68">
        <v>146826293.48997834</v>
      </c>
    </row>
    <row r="495" spans="1:17" x14ac:dyDescent="0.25">
      <c r="O495" s="65">
        <f>O491-O493</f>
        <v>-6268301.8505286574</v>
      </c>
      <c r="Q495" s="65" t="e">
        <f>Q491-Q493</f>
        <v>#REF!</v>
      </c>
    </row>
    <row r="497" spans="8:20" x14ac:dyDescent="0.25">
      <c r="H497" t="s">
        <v>1817</v>
      </c>
      <c r="O497" s="66" t="e">
        <f>PROGRAMMES!#REF!+PROGRAMMES!#REF!+PROGRAMMES!#REF!+PROGRAMMES!#REF!</f>
        <v>#REF!</v>
      </c>
      <c r="Q497" s="66" t="e">
        <f>PROGRAMMES!#REF!+PROGRAMMES!#REF!+PROGRAMMES!#REF!+PROGRAMMES!#REF!-Q498</f>
        <v>#REF!</v>
      </c>
    </row>
    <row r="498" spans="8:20" x14ac:dyDescent="0.25">
      <c r="H498" t="s">
        <v>1816</v>
      </c>
      <c r="O498" s="66">
        <v>1033130.94</v>
      </c>
      <c r="Q498" s="66">
        <v>899353.81</v>
      </c>
    </row>
    <row r="500" spans="8:20" x14ac:dyDescent="0.25">
      <c r="H500" t="s">
        <v>1818</v>
      </c>
      <c r="O500" s="67" t="e">
        <f>O491+O497-O498</f>
        <v>#REF!</v>
      </c>
      <c r="P500" s="67"/>
      <c r="Q500" s="67" t="e">
        <f>Q491+Q497</f>
        <v>#REF!</v>
      </c>
      <c r="S500" s="66"/>
      <c r="T500" s="65"/>
    </row>
    <row r="502" spans="8:20" x14ac:dyDescent="0.25">
      <c r="H502" s="6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209"/>
  <sheetViews>
    <sheetView topLeftCell="B1" zoomScale="110" zoomScaleNormal="110" workbookViewId="0">
      <pane ySplit="4" topLeftCell="A5" activePane="bottomLeft" state="frozen"/>
      <selection activeCell="F10" sqref="F10"/>
      <selection pane="bottomLeft" activeCell="B2" sqref="B2"/>
    </sheetView>
  </sheetViews>
  <sheetFormatPr defaultColWidth="9.125" defaultRowHeight="15" x14ac:dyDescent="0.25"/>
  <cols>
    <col min="1" max="1" width="15.625" style="78" hidden="1" customWidth="1"/>
    <col min="2" max="2" width="32.25" style="78" customWidth="1"/>
    <col min="3" max="3" width="42.375" style="78" hidden="1" customWidth="1"/>
    <col min="4" max="4" width="25.875" style="78" hidden="1" customWidth="1"/>
    <col min="5" max="5" width="15.75" style="78" hidden="1" customWidth="1"/>
    <col min="6" max="6" width="41.75" style="78" customWidth="1"/>
    <col min="7" max="13" width="9.125" style="78" hidden="1" customWidth="1"/>
    <col min="14" max="14" width="13.75" style="78" bestFit="1" customWidth="1"/>
    <col min="15" max="15" width="15.625" style="78" bestFit="1" customWidth="1"/>
    <col min="16" max="16" width="15.625" style="134" customWidth="1"/>
    <col min="17" max="17" width="17.75" style="78" customWidth="1"/>
    <col min="18" max="18" width="17" style="78" customWidth="1"/>
    <col min="19" max="19" width="18.375" style="78" customWidth="1"/>
    <col min="20" max="16384" width="9.125" style="78"/>
  </cols>
  <sheetData>
    <row r="1" spans="1:19" ht="15.75" x14ac:dyDescent="0.25">
      <c r="B1" s="72" t="s">
        <v>1597</v>
      </c>
      <c r="C1" s="72"/>
      <c r="D1" s="72"/>
      <c r="E1" s="72"/>
    </row>
    <row r="2" spans="1:19" ht="15.75" x14ac:dyDescent="0.25">
      <c r="B2" s="19" t="s">
        <v>2342</v>
      </c>
      <c r="C2" s="19"/>
      <c r="D2" s="80"/>
      <c r="E2" s="72"/>
      <c r="Q2" s="83"/>
    </row>
    <row r="3" spans="1:19" ht="15.75" x14ac:dyDescent="0.25">
      <c r="B3" s="72" t="s">
        <v>1734</v>
      </c>
      <c r="C3" s="72"/>
      <c r="D3" s="72"/>
      <c r="E3" s="72"/>
    </row>
    <row r="4" spans="1:19" ht="64.5" customHeight="1" x14ac:dyDescent="0.25">
      <c r="A4" s="78" t="s">
        <v>2000</v>
      </c>
      <c r="B4" s="78" t="s">
        <v>1384</v>
      </c>
      <c r="C4" s="78" t="s">
        <v>1202</v>
      </c>
      <c r="D4" s="78" t="s">
        <v>0</v>
      </c>
      <c r="E4" s="78" t="s">
        <v>1</v>
      </c>
      <c r="F4" s="78" t="s">
        <v>2</v>
      </c>
      <c r="G4" s="78" t="s">
        <v>3</v>
      </c>
      <c r="H4" s="78" t="s">
        <v>4</v>
      </c>
      <c r="I4" s="78" t="s">
        <v>5</v>
      </c>
      <c r="J4" s="78" t="s">
        <v>6</v>
      </c>
      <c r="K4" s="78" t="s">
        <v>7</v>
      </c>
      <c r="L4" s="78" t="s">
        <v>8</v>
      </c>
      <c r="M4" s="78" t="s">
        <v>9</v>
      </c>
      <c r="N4" s="48" t="s">
        <v>2193</v>
      </c>
      <c r="O4" s="48" t="s">
        <v>2230</v>
      </c>
      <c r="P4" s="48" t="s">
        <v>2340</v>
      </c>
      <c r="Q4" s="48" t="s">
        <v>2343</v>
      </c>
      <c r="R4" s="48" t="s">
        <v>2228</v>
      </c>
      <c r="S4" s="48" t="s">
        <v>2229</v>
      </c>
    </row>
    <row r="5" spans="1:19" hidden="1" x14ac:dyDescent="0.25">
      <c r="A5" s="76" t="s">
        <v>1385</v>
      </c>
      <c r="B5" s="76" t="s">
        <v>1386</v>
      </c>
      <c r="C5" s="77" t="s">
        <v>1387</v>
      </c>
      <c r="D5" s="77" t="s">
        <v>1388</v>
      </c>
      <c r="E5" s="77" t="s">
        <v>12</v>
      </c>
      <c r="F5" s="77" t="s">
        <v>13</v>
      </c>
      <c r="G5" s="77" t="s">
        <v>716</v>
      </c>
      <c r="H5" s="77" t="s">
        <v>292</v>
      </c>
      <c r="I5" s="77" t="s">
        <v>16</v>
      </c>
      <c r="J5" s="77" t="s">
        <v>179</v>
      </c>
      <c r="K5" s="82" t="s">
        <v>18</v>
      </c>
      <c r="L5" s="82">
        <v>3</v>
      </c>
      <c r="M5" s="82"/>
    </row>
    <row r="6" spans="1:19" hidden="1" x14ac:dyDescent="0.25">
      <c r="A6" s="76" t="s">
        <v>1385</v>
      </c>
      <c r="B6" s="76" t="s">
        <v>1386</v>
      </c>
      <c r="C6" s="77" t="s">
        <v>1389</v>
      </c>
      <c r="D6" s="77" t="s">
        <v>1388</v>
      </c>
      <c r="E6" s="77" t="s">
        <v>12</v>
      </c>
      <c r="F6" s="77" t="s">
        <v>1390</v>
      </c>
      <c r="G6" s="77" t="s">
        <v>716</v>
      </c>
      <c r="H6" s="77" t="s">
        <v>292</v>
      </c>
      <c r="I6" s="77" t="s">
        <v>16</v>
      </c>
      <c r="J6" s="77" t="s">
        <v>179</v>
      </c>
      <c r="K6" s="82" t="s">
        <v>18</v>
      </c>
      <c r="L6" s="82">
        <v>3</v>
      </c>
      <c r="M6" s="82"/>
    </row>
    <row r="7" spans="1:19" x14ac:dyDescent="0.25">
      <c r="A7" s="76" t="s">
        <v>1385</v>
      </c>
      <c r="B7" s="76" t="s">
        <v>1386</v>
      </c>
      <c r="C7" s="77" t="s">
        <v>1391</v>
      </c>
      <c r="D7" s="77" t="s">
        <v>1388</v>
      </c>
      <c r="E7" s="77" t="s">
        <v>12</v>
      </c>
      <c r="F7" s="77" t="s">
        <v>435</v>
      </c>
      <c r="G7" s="77" t="s">
        <v>716</v>
      </c>
      <c r="H7" s="77" t="s">
        <v>292</v>
      </c>
      <c r="I7" s="77" t="s">
        <v>16</v>
      </c>
      <c r="J7" s="77" t="s">
        <v>179</v>
      </c>
      <c r="K7" s="82" t="s">
        <v>18</v>
      </c>
      <c r="L7" s="82">
        <v>3</v>
      </c>
      <c r="M7" s="82"/>
      <c r="N7" s="74">
        <v>10000</v>
      </c>
      <c r="O7" s="74">
        <v>15000</v>
      </c>
      <c r="P7" s="74">
        <v>15000</v>
      </c>
      <c r="Q7" s="83">
        <v>150000</v>
      </c>
      <c r="R7" s="83">
        <v>155000</v>
      </c>
      <c r="S7" s="83">
        <v>160000</v>
      </c>
    </row>
    <row r="8" spans="1:19" x14ac:dyDescent="0.25">
      <c r="A8" s="76" t="s">
        <v>1385</v>
      </c>
      <c r="B8" s="76" t="s">
        <v>1386</v>
      </c>
      <c r="C8" s="77" t="s">
        <v>1392</v>
      </c>
      <c r="D8" s="77" t="s">
        <v>1388</v>
      </c>
      <c r="E8" s="77" t="s">
        <v>12</v>
      </c>
      <c r="F8" s="77" t="s">
        <v>1393</v>
      </c>
      <c r="G8" s="77" t="s">
        <v>716</v>
      </c>
      <c r="H8" s="77" t="s">
        <v>292</v>
      </c>
      <c r="I8" s="77" t="s">
        <v>16</v>
      </c>
      <c r="J8" s="77" t="s">
        <v>179</v>
      </c>
      <c r="K8" s="82" t="s">
        <v>18</v>
      </c>
      <c r="L8" s="82">
        <v>3</v>
      </c>
      <c r="M8" s="82"/>
      <c r="N8" s="74">
        <v>10000</v>
      </c>
      <c r="O8" s="74">
        <v>15000</v>
      </c>
      <c r="P8" s="74">
        <v>15000</v>
      </c>
      <c r="Q8" s="83">
        <v>50000</v>
      </c>
      <c r="R8" s="83">
        <v>55000</v>
      </c>
      <c r="S8" s="83">
        <v>60000</v>
      </c>
    </row>
    <row r="9" spans="1:19" hidden="1" x14ac:dyDescent="0.25">
      <c r="A9" s="76" t="s">
        <v>1385</v>
      </c>
      <c r="B9" s="76" t="s">
        <v>1386</v>
      </c>
      <c r="C9" s="77" t="s">
        <v>1394</v>
      </c>
      <c r="D9" s="77" t="s">
        <v>1388</v>
      </c>
      <c r="E9" s="77" t="s">
        <v>12</v>
      </c>
      <c r="F9" s="77" t="s">
        <v>895</v>
      </c>
      <c r="G9" s="77" t="s">
        <v>716</v>
      </c>
      <c r="H9" s="77" t="s">
        <v>292</v>
      </c>
      <c r="I9" s="77" t="s">
        <v>16</v>
      </c>
      <c r="J9" s="77" t="s">
        <v>179</v>
      </c>
      <c r="K9" s="82" t="s">
        <v>18</v>
      </c>
      <c r="L9" s="82">
        <v>3</v>
      </c>
      <c r="M9" s="82"/>
    </row>
    <row r="11" spans="1:19" x14ac:dyDescent="0.25">
      <c r="A11" s="76" t="s">
        <v>1395</v>
      </c>
      <c r="B11" s="76" t="s">
        <v>1396</v>
      </c>
      <c r="C11" s="77" t="s">
        <v>1397</v>
      </c>
      <c r="D11" s="77" t="s">
        <v>1398</v>
      </c>
      <c r="E11" s="77" t="s">
        <v>12</v>
      </c>
      <c r="F11" s="77" t="s">
        <v>13</v>
      </c>
      <c r="G11" s="77" t="s">
        <v>716</v>
      </c>
      <c r="H11" s="77" t="s">
        <v>295</v>
      </c>
      <c r="I11" s="77" t="s">
        <v>16</v>
      </c>
      <c r="J11" s="77" t="s">
        <v>181</v>
      </c>
      <c r="K11" s="82" t="s">
        <v>38</v>
      </c>
      <c r="L11" s="82">
        <v>1</v>
      </c>
      <c r="M11" s="82"/>
      <c r="Q11" s="83">
        <v>30000</v>
      </c>
      <c r="R11" s="83">
        <v>35000</v>
      </c>
      <c r="S11" s="83">
        <v>40000</v>
      </c>
    </row>
    <row r="12" spans="1:19" x14ac:dyDescent="0.25">
      <c r="A12" s="76" t="s">
        <v>1395</v>
      </c>
      <c r="B12" s="76" t="s">
        <v>1396</v>
      </c>
      <c r="C12" s="77" t="s">
        <v>1399</v>
      </c>
      <c r="D12" s="77" t="s">
        <v>1400</v>
      </c>
      <c r="E12" s="77" t="s">
        <v>12</v>
      </c>
      <c r="F12" s="77" t="s">
        <v>1390</v>
      </c>
      <c r="G12" s="77" t="s">
        <v>716</v>
      </c>
      <c r="H12" s="77" t="s">
        <v>292</v>
      </c>
      <c r="I12" s="77" t="s">
        <v>16</v>
      </c>
      <c r="J12" s="77" t="s">
        <v>179</v>
      </c>
      <c r="K12" s="82" t="s">
        <v>18</v>
      </c>
      <c r="L12" s="82">
        <v>3</v>
      </c>
      <c r="M12" s="82"/>
      <c r="Q12" s="83">
        <v>70000</v>
      </c>
      <c r="R12" s="83">
        <v>80000</v>
      </c>
      <c r="S12" s="83">
        <v>90000</v>
      </c>
    </row>
    <row r="13" spans="1:19" x14ac:dyDescent="0.25">
      <c r="A13" s="76" t="s">
        <v>1395</v>
      </c>
      <c r="B13" s="76" t="s">
        <v>1396</v>
      </c>
      <c r="C13" s="77" t="s">
        <v>1401</v>
      </c>
      <c r="D13" s="77" t="s">
        <v>1400</v>
      </c>
      <c r="E13" s="77" t="s">
        <v>12</v>
      </c>
      <c r="F13" s="77" t="s">
        <v>435</v>
      </c>
      <c r="G13" s="77" t="s">
        <v>716</v>
      </c>
      <c r="H13" s="77" t="s">
        <v>292</v>
      </c>
      <c r="I13" s="77" t="s">
        <v>16</v>
      </c>
      <c r="J13" s="77" t="s">
        <v>179</v>
      </c>
      <c r="K13" s="82" t="s">
        <v>18</v>
      </c>
      <c r="L13" s="82">
        <v>3</v>
      </c>
      <c r="M13" s="82"/>
      <c r="Q13" s="83">
        <v>70000</v>
      </c>
      <c r="R13" s="83">
        <v>80000</v>
      </c>
      <c r="S13" s="83">
        <v>90000</v>
      </c>
    </row>
    <row r="14" spans="1:19" x14ac:dyDescent="0.25">
      <c r="A14" s="76" t="s">
        <v>1395</v>
      </c>
      <c r="B14" s="76" t="s">
        <v>1396</v>
      </c>
      <c r="C14" s="77" t="s">
        <v>1402</v>
      </c>
      <c r="D14" s="77" t="s">
        <v>1400</v>
      </c>
      <c r="E14" s="77" t="s">
        <v>12</v>
      </c>
      <c r="F14" s="77" t="s">
        <v>1393</v>
      </c>
      <c r="G14" s="77" t="s">
        <v>716</v>
      </c>
      <c r="H14" s="77" t="s">
        <v>292</v>
      </c>
      <c r="I14" s="77" t="s">
        <v>16</v>
      </c>
      <c r="J14" s="77" t="s">
        <v>179</v>
      </c>
      <c r="K14" s="82" t="s">
        <v>18</v>
      </c>
      <c r="L14" s="82">
        <v>3</v>
      </c>
      <c r="M14" s="82"/>
      <c r="N14" s="74">
        <v>10000</v>
      </c>
      <c r="O14" s="74">
        <v>10000</v>
      </c>
      <c r="P14" s="74">
        <v>10000</v>
      </c>
      <c r="Q14" s="83">
        <v>30000</v>
      </c>
      <c r="R14" s="83">
        <v>35000</v>
      </c>
      <c r="S14" s="83">
        <v>40000</v>
      </c>
    </row>
    <row r="15" spans="1:19" hidden="1" x14ac:dyDescent="0.25">
      <c r="A15" s="76" t="s">
        <v>1395</v>
      </c>
      <c r="B15" s="76" t="s">
        <v>1396</v>
      </c>
      <c r="C15" s="77" t="s">
        <v>1403</v>
      </c>
      <c r="D15" s="77" t="s">
        <v>1400</v>
      </c>
      <c r="E15" s="77" t="s">
        <v>12</v>
      </c>
      <c r="F15" s="77" t="s">
        <v>895</v>
      </c>
      <c r="G15" s="77" t="s">
        <v>716</v>
      </c>
      <c r="H15" s="77" t="s">
        <v>292</v>
      </c>
      <c r="I15" s="77" t="s">
        <v>16</v>
      </c>
      <c r="J15" s="77" t="s">
        <v>179</v>
      </c>
      <c r="K15" s="82" t="s">
        <v>18</v>
      </c>
      <c r="L15" s="82">
        <v>3</v>
      </c>
      <c r="M15" s="82"/>
    </row>
    <row r="17" spans="1:19" x14ac:dyDescent="0.25">
      <c r="A17" s="76" t="s">
        <v>1404</v>
      </c>
      <c r="B17" s="76" t="s">
        <v>1405</v>
      </c>
      <c r="C17" s="77" t="s">
        <v>1406</v>
      </c>
      <c r="D17" s="77" t="s">
        <v>1407</v>
      </c>
      <c r="E17" s="77" t="s">
        <v>12</v>
      </c>
      <c r="F17" s="77" t="s">
        <v>13</v>
      </c>
      <c r="G17" s="77" t="s">
        <v>716</v>
      </c>
      <c r="H17" s="77" t="s">
        <v>292</v>
      </c>
      <c r="I17" s="77" t="s">
        <v>16</v>
      </c>
      <c r="J17" s="77" t="s">
        <v>179</v>
      </c>
      <c r="K17" s="82" t="s">
        <v>18</v>
      </c>
      <c r="L17" s="82">
        <v>3</v>
      </c>
      <c r="M17" s="82"/>
      <c r="O17" s="83">
        <v>60000</v>
      </c>
      <c r="P17" s="83">
        <v>60000</v>
      </c>
      <c r="Q17" s="83">
        <v>30000</v>
      </c>
      <c r="R17" s="83">
        <v>35000</v>
      </c>
      <c r="S17" s="83">
        <v>40000</v>
      </c>
    </row>
    <row r="18" spans="1:19" x14ac:dyDescent="0.25">
      <c r="A18" s="76" t="s">
        <v>1404</v>
      </c>
      <c r="B18" s="76" t="s">
        <v>1405</v>
      </c>
      <c r="C18" s="77" t="s">
        <v>1408</v>
      </c>
      <c r="D18" s="77" t="s">
        <v>1407</v>
      </c>
      <c r="E18" s="77" t="s">
        <v>12</v>
      </c>
      <c r="F18" s="77" t="s">
        <v>1390</v>
      </c>
      <c r="G18" s="77" t="s">
        <v>716</v>
      </c>
      <c r="H18" s="77" t="s">
        <v>292</v>
      </c>
      <c r="I18" s="77" t="s">
        <v>16</v>
      </c>
      <c r="J18" s="77" t="s">
        <v>179</v>
      </c>
      <c r="K18" s="82" t="s">
        <v>18</v>
      </c>
      <c r="L18" s="82">
        <v>3</v>
      </c>
      <c r="M18" s="82"/>
      <c r="Q18" s="83">
        <v>70000</v>
      </c>
      <c r="R18" s="83">
        <v>80000</v>
      </c>
      <c r="S18" s="83">
        <v>90000</v>
      </c>
    </row>
    <row r="19" spans="1:19" x14ac:dyDescent="0.25">
      <c r="A19" s="76" t="s">
        <v>1404</v>
      </c>
      <c r="B19" s="76" t="s">
        <v>1405</v>
      </c>
      <c r="C19" s="77" t="s">
        <v>1409</v>
      </c>
      <c r="D19" s="77" t="s">
        <v>1407</v>
      </c>
      <c r="E19" s="77" t="s">
        <v>12</v>
      </c>
      <c r="F19" s="77" t="s">
        <v>435</v>
      </c>
      <c r="G19" s="77" t="s">
        <v>716</v>
      </c>
      <c r="H19" s="77" t="s">
        <v>292</v>
      </c>
      <c r="I19" s="77" t="s">
        <v>16</v>
      </c>
      <c r="J19" s="77" t="s">
        <v>179</v>
      </c>
      <c r="K19" s="82" t="s">
        <v>18</v>
      </c>
      <c r="L19" s="82">
        <v>3</v>
      </c>
      <c r="M19" s="82"/>
      <c r="N19" s="74">
        <v>40000</v>
      </c>
      <c r="O19" s="74">
        <v>30000</v>
      </c>
      <c r="P19" s="74">
        <v>30000</v>
      </c>
      <c r="Q19" s="83">
        <v>70000</v>
      </c>
      <c r="R19" s="83">
        <v>80000</v>
      </c>
      <c r="S19" s="83">
        <v>90000</v>
      </c>
    </row>
    <row r="20" spans="1:19" x14ac:dyDescent="0.25">
      <c r="A20" s="76" t="s">
        <v>1404</v>
      </c>
      <c r="B20" s="76" t="s">
        <v>1405</v>
      </c>
      <c r="C20" s="77" t="s">
        <v>1410</v>
      </c>
      <c r="D20" s="77" t="s">
        <v>1407</v>
      </c>
      <c r="E20" s="77" t="s">
        <v>12</v>
      </c>
      <c r="F20" s="77" t="s">
        <v>1393</v>
      </c>
      <c r="G20" s="77" t="s">
        <v>716</v>
      </c>
      <c r="H20" s="77" t="s">
        <v>292</v>
      </c>
      <c r="I20" s="77" t="s">
        <v>16</v>
      </c>
      <c r="J20" s="77" t="s">
        <v>179</v>
      </c>
      <c r="K20" s="82" t="s">
        <v>18</v>
      </c>
      <c r="L20" s="82">
        <v>3</v>
      </c>
      <c r="M20" s="82"/>
      <c r="O20" s="83">
        <v>15000</v>
      </c>
      <c r="P20" s="83">
        <v>15000</v>
      </c>
      <c r="Q20" s="83">
        <v>30000</v>
      </c>
      <c r="R20" s="83">
        <v>35000</v>
      </c>
      <c r="S20" s="83">
        <v>40000</v>
      </c>
    </row>
    <row r="21" spans="1:19" ht="14.25" hidden="1" customHeight="1" x14ac:dyDescent="0.25">
      <c r="A21" s="76" t="s">
        <v>1404</v>
      </c>
      <c r="B21" s="76" t="s">
        <v>1405</v>
      </c>
      <c r="C21" s="77" t="s">
        <v>1411</v>
      </c>
      <c r="D21" s="77" t="s">
        <v>1407</v>
      </c>
      <c r="E21" s="77" t="s">
        <v>12</v>
      </c>
      <c r="F21" s="77" t="s">
        <v>895</v>
      </c>
      <c r="G21" s="77" t="s">
        <v>716</v>
      </c>
      <c r="H21" s="77" t="s">
        <v>292</v>
      </c>
      <c r="I21" s="77" t="s">
        <v>16</v>
      </c>
      <c r="J21" s="77" t="s">
        <v>179</v>
      </c>
      <c r="K21" s="82" t="s">
        <v>18</v>
      </c>
      <c r="L21" s="82">
        <v>3</v>
      </c>
      <c r="M21" s="82"/>
    </row>
    <row r="22" spans="1:19" ht="14.25" hidden="1" customHeight="1" x14ac:dyDescent="0.25">
      <c r="A22" s="76" t="s">
        <v>1404</v>
      </c>
      <c r="B22" s="76" t="s">
        <v>1405</v>
      </c>
      <c r="C22" s="76" t="s">
        <v>1406</v>
      </c>
      <c r="D22" s="77"/>
      <c r="E22" s="77"/>
      <c r="F22" s="77" t="s">
        <v>1832</v>
      </c>
      <c r="G22" s="77"/>
      <c r="H22" s="77"/>
      <c r="I22" s="77"/>
      <c r="J22" s="77"/>
      <c r="K22" s="82"/>
      <c r="L22" s="82"/>
      <c r="M22" s="82"/>
    </row>
    <row r="24" spans="1:19" x14ac:dyDescent="0.25">
      <c r="A24" s="76" t="s">
        <v>1412</v>
      </c>
      <c r="B24" s="76" t="s">
        <v>1413</v>
      </c>
      <c r="C24" s="77" t="s">
        <v>1414</v>
      </c>
      <c r="D24" s="77" t="s">
        <v>1415</v>
      </c>
      <c r="E24" s="77" t="s">
        <v>12</v>
      </c>
      <c r="F24" s="77" t="s">
        <v>13</v>
      </c>
      <c r="G24" s="77" t="s">
        <v>716</v>
      </c>
      <c r="H24" s="77" t="s">
        <v>295</v>
      </c>
      <c r="I24" s="77" t="s">
        <v>16</v>
      </c>
      <c r="J24" s="77" t="s">
        <v>181</v>
      </c>
      <c r="K24" s="82" t="s">
        <v>38</v>
      </c>
      <c r="L24" s="82">
        <v>1</v>
      </c>
      <c r="M24" s="82"/>
      <c r="N24" s="83">
        <v>0</v>
      </c>
      <c r="O24" s="83"/>
      <c r="P24" s="83"/>
      <c r="Q24" s="83"/>
      <c r="R24" s="83"/>
      <c r="S24" s="83"/>
    </row>
    <row r="25" spans="1:19" x14ac:dyDescent="0.25">
      <c r="A25" s="76" t="s">
        <v>1412</v>
      </c>
      <c r="B25" s="76" t="s">
        <v>1863</v>
      </c>
      <c r="C25" s="77" t="s">
        <v>1416</v>
      </c>
      <c r="D25" s="77" t="s">
        <v>1417</v>
      </c>
      <c r="E25" s="77" t="s">
        <v>12</v>
      </c>
      <c r="F25" s="77" t="s">
        <v>1390</v>
      </c>
      <c r="G25" s="77" t="s">
        <v>716</v>
      </c>
      <c r="H25" s="77" t="s">
        <v>292</v>
      </c>
      <c r="I25" s="77" t="s">
        <v>16</v>
      </c>
      <c r="J25" s="77" t="s">
        <v>179</v>
      </c>
      <c r="K25" s="82" t="s">
        <v>18</v>
      </c>
      <c r="L25" s="82">
        <v>3</v>
      </c>
      <c r="M25" s="82"/>
      <c r="N25" s="83">
        <v>0</v>
      </c>
      <c r="O25" s="83">
        <v>0</v>
      </c>
      <c r="P25" s="83">
        <v>0</v>
      </c>
      <c r="Q25" s="83">
        <v>130000</v>
      </c>
      <c r="R25" s="83">
        <v>140000</v>
      </c>
      <c r="S25" s="83">
        <v>150000</v>
      </c>
    </row>
    <row r="26" spans="1:19" x14ac:dyDescent="0.25">
      <c r="A26" s="76" t="s">
        <v>1412</v>
      </c>
      <c r="B26" s="76" t="s">
        <v>1413</v>
      </c>
      <c r="C26" s="77" t="s">
        <v>1418</v>
      </c>
      <c r="D26" s="77" t="s">
        <v>1417</v>
      </c>
      <c r="E26" s="77" t="s">
        <v>12</v>
      </c>
      <c r="F26" s="77" t="s">
        <v>435</v>
      </c>
      <c r="G26" s="77" t="s">
        <v>716</v>
      </c>
      <c r="H26" s="77" t="s">
        <v>292</v>
      </c>
      <c r="I26" s="77" t="s">
        <v>16</v>
      </c>
      <c r="J26" s="77" t="s">
        <v>179</v>
      </c>
      <c r="K26" s="82" t="s">
        <v>18</v>
      </c>
      <c r="L26" s="82">
        <v>3</v>
      </c>
      <c r="M26" s="82"/>
      <c r="N26" s="83">
        <v>0</v>
      </c>
      <c r="O26" s="83">
        <v>0</v>
      </c>
      <c r="P26" s="83">
        <v>0</v>
      </c>
      <c r="Q26" s="83">
        <v>150000</v>
      </c>
      <c r="R26" s="83">
        <v>160000</v>
      </c>
      <c r="S26" s="83">
        <v>170000</v>
      </c>
    </row>
    <row r="27" spans="1:19" hidden="1" x14ac:dyDescent="0.25">
      <c r="A27" s="76" t="s">
        <v>1412</v>
      </c>
      <c r="B27" s="76" t="s">
        <v>1413</v>
      </c>
      <c r="C27" s="77" t="s">
        <v>1419</v>
      </c>
      <c r="D27" s="77" t="s">
        <v>1415</v>
      </c>
      <c r="E27" s="77" t="s">
        <v>12</v>
      </c>
      <c r="F27" s="77" t="s">
        <v>1393</v>
      </c>
      <c r="G27" s="77" t="s">
        <v>716</v>
      </c>
      <c r="H27" s="77" t="s">
        <v>295</v>
      </c>
      <c r="I27" s="77" t="s">
        <v>16</v>
      </c>
      <c r="J27" s="77" t="s">
        <v>181</v>
      </c>
      <c r="K27" s="82" t="s">
        <v>38</v>
      </c>
      <c r="L27" s="82">
        <v>1</v>
      </c>
      <c r="M27" s="82"/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</row>
    <row r="28" spans="1:19" x14ac:dyDescent="0.25">
      <c r="A28" s="76" t="s">
        <v>1412</v>
      </c>
      <c r="B28" s="76" t="s">
        <v>1413</v>
      </c>
      <c r="C28" s="77" t="s">
        <v>1420</v>
      </c>
      <c r="D28" s="77" t="s">
        <v>1417</v>
      </c>
      <c r="E28" s="77" t="s">
        <v>12</v>
      </c>
      <c r="F28" s="77" t="s">
        <v>895</v>
      </c>
      <c r="G28" s="77" t="s">
        <v>716</v>
      </c>
      <c r="H28" s="77" t="s">
        <v>292</v>
      </c>
      <c r="I28" s="77" t="s">
        <v>16</v>
      </c>
      <c r="J28" s="77" t="s">
        <v>179</v>
      </c>
      <c r="K28" s="82" t="s">
        <v>18</v>
      </c>
      <c r="L28" s="82">
        <v>3</v>
      </c>
      <c r="M28" s="82"/>
      <c r="N28" s="83">
        <v>0</v>
      </c>
      <c r="O28" s="83">
        <v>0</v>
      </c>
      <c r="P28" s="83">
        <v>0</v>
      </c>
      <c r="Q28" s="83">
        <v>600000</v>
      </c>
      <c r="R28" s="83">
        <v>600000</v>
      </c>
      <c r="S28" s="83">
        <v>620000</v>
      </c>
    </row>
    <row r="29" spans="1:19" x14ac:dyDescent="0.25">
      <c r="A29" s="76" t="s">
        <v>1412</v>
      </c>
      <c r="B29" s="76" t="s">
        <v>1413</v>
      </c>
      <c r="C29" s="76" t="s">
        <v>1920</v>
      </c>
      <c r="D29" s="77"/>
      <c r="E29" s="77"/>
      <c r="F29" s="77" t="s">
        <v>1833</v>
      </c>
      <c r="G29" s="77"/>
      <c r="H29" s="77"/>
      <c r="I29" s="77"/>
      <c r="J29" s="77"/>
      <c r="K29" s="82"/>
      <c r="L29" s="82"/>
      <c r="M29" s="82"/>
      <c r="N29" s="83">
        <v>0</v>
      </c>
      <c r="O29" s="83">
        <v>0</v>
      </c>
      <c r="P29" s="83">
        <v>0</v>
      </c>
      <c r="Q29" s="83">
        <v>20000</v>
      </c>
      <c r="R29" s="83">
        <v>30000</v>
      </c>
      <c r="S29" s="83">
        <v>40000</v>
      </c>
    </row>
    <row r="31" spans="1:19" hidden="1" x14ac:dyDescent="0.25">
      <c r="A31" s="76" t="s">
        <v>1421</v>
      </c>
      <c r="B31" s="76" t="s">
        <v>1422</v>
      </c>
      <c r="C31" s="77" t="s">
        <v>1423</v>
      </c>
      <c r="D31" s="77" t="s">
        <v>1424</v>
      </c>
      <c r="E31" s="77" t="s">
        <v>12</v>
      </c>
      <c r="F31" s="77" t="s">
        <v>13</v>
      </c>
      <c r="G31" s="77" t="s">
        <v>716</v>
      </c>
      <c r="H31" s="77" t="s">
        <v>295</v>
      </c>
      <c r="I31" s="77" t="s">
        <v>16</v>
      </c>
      <c r="J31" s="77" t="s">
        <v>181</v>
      </c>
      <c r="K31" s="82" t="s">
        <v>38</v>
      </c>
      <c r="L31" s="82">
        <v>1</v>
      </c>
      <c r="M31" s="82"/>
      <c r="Q31" s="83"/>
      <c r="R31" s="83"/>
      <c r="S31" s="83"/>
    </row>
    <row r="32" spans="1:19" x14ac:dyDescent="0.25">
      <c r="A32" s="76" t="s">
        <v>1421</v>
      </c>
      <c r="B32" s="76" t="s">
        <v>1422</v>
      </c>
      <c r="C32" s="77" t="s">
        <v>1425</v>
      </c>
      <c r="D32" s="77" t="s">
        <v>1426</v>
      </c>
      <c r="E32" s="77" t="s">
        <v>12</v>
      </c>
      <c r="F32" s="77" t="s">
        <v>1390</v>
      </c>
      <c r="G32" s="77" t="s">
        <v>716</v>
      </c>
      <c r="H32" s="77" t="s">
        <v>292</v>
      </c>
      <c r="I32" s="77" t="s">
        <v>16</v>
      </c>
      <c r="J32" s="77" t="s">
        <v>179</v>
      </c>
      <c r="K32" s="82" t="s">
        <v>18</v>
      </c>
      <c r="L32" s="82">
        <v>3</v>
      </c>
      <c r="M32" s="82"/>
      <c r="N32" s="79">
        <v>0</v>
      </c>
      <c r="O32" s="79">
        <v>0</v>
      </c>
      <c r="P32" s="79">
        <v>0</v>
      </c>
      <c r="Q32" s="83">
        <v>60000</v>
      </c>
      <c r="R32" s="83">
        <v>65000</v>
      </c>
      <c r="S32" s="83">
        <v>70000</v>
      </c>
    </row>
    <row r="33" spans="1:19" hidden="1" x14ac:dyDescent="0.25">
      <c r="A33" s="76" t="s">
        <v>1421</v>
      </c>
      <c r="B33" s="76" t="s">
        <v>1422</v>
      </c>
      <c r="C33" s="77" t="s">
        <v>1427</v>
      </c>
      <c r="D33" s="77" t="s">
        <v>1426</v>
      </c>
      <c r="E33" s="77" t="s">
        <v>12</v>
      </c>
      <c r="F33" s="77" t="s">
        <v>435</v>
      </c>
      <c r="G33" s="77" t="s">
        <v>716</v>
      </c>
      <c r="H33" s="77" t="s">
        <v>292</v>
      </c>
      <c r="I33" s="77" t="s">
        <v>16</v>
      </c>
      <c r="J33" s="77" t="s">
        <v>179</v>
      </c>
      <c r="K33" s="82" t="s">
        <v>18</v>
      </c>
      <c r="L33" s="82">
        <v>3</v>
      </c>
      <c r="M33" s="82"/>
      <c r="N33" s="79"/>
      <c r="O33" s="79"/>
      <c r="P33" s="79"/>
      <c r="Q33" s="83"/>
      <c r="R33" s="83"/>
      <c r="S33" s="83"/>
    </row>
    <row r="34" spans="1:19" hidden="1" x14ac:dyDescent="0.25">
      <c r="A34" s="76" t="s">
        <v>1421</v>
      </c>
      <c r="B34" s="76" t="s">
        <v>1422</v>
      </c>
      <c r="C34" s="77" t="s">
        <v>1428</v>
      </c>
      <c r="D34" s="77" t="s">
        <v>1426</v>
      </c>
      <c r="E34" s="77" t="s">
        <v>12</v>
      </c>
      <c r="F34" s="77" t="s">
        <v>895</v>
      </c>
      <c r="G34" s="77" t="s">
        <v>716</v>
      </c>
      <c r="H34" s="77" t="s">
        <v>292</v>
      </c>
      <c r="I34" s="77" t="s">
        <v>16</v>
      </c>
      <c r="J34" s="77" t="s">
        <v>179</v>
      </c>
      <c r="K34" s="82" t="s">
        <v>18</v>
      </c>
      <c r="L34" s="82">
        <v>3</v>
      </c>
      <c r="M34" s="82"/>
      <c r="N34" s="79"/>
      <c r="O34" s="79"/>
      <c r="P34" s="79"/>
      <c r="Q34" s="83"/>
      <c r="R34" s="83"/>
      <c r="S34" s="83"/>
    </row>
    <row r="35" spans="1:19" hidden="1" x14ac:dyDescent="0.25">
      <c r="A35" s="76" t="s">
        <v>1421</v>
      </c>
      <c r="B35" s="76" t="s">
        <v>1422</v>
      </c>
      <c r="C35" s="77" t="s">
        <v>1429</v>
      </c>
      <c r="D35" s="77" t="s">
        <v>1430</v>
      </c>
      <c r="E35" s="77" t="s">
        <v>12</v>
      </c>
      <c r="F35" s="77" t="s">
        <v>13</v>
      </c>
      <c r="G35" s="77" t="s">
        <v>716</v>
      </c>
      <c r="H35" s="77" t="s">
        <v>295</v>
      </c>
      <c r="I35" s="77" t="s">
        <v>16</v>
      </c>
      <c r="J35" s="77" t="s">
        <v>181</v>
      </c>
      <c r="K35" s="82" t="s">
        <v>38</v>
      </c>
      <c r="L35" s="82">
        <v>1</v>
      </c>
      <c r="M35" s="82"/>
      <c r="N35" s="79"/>
      <c r="O35" s="79"/>
      <c r="P35" s="79"/>
      <c r="Q35" s="83"/>
      <c r="R35" s="83"/>
      <c r="S35" s="83"/>
    </row>
    <row r="36" spans="1:19" hidden="1" x14ac:dyDescent="0.25">
      <c r="A36" s="76" t="s">
        <v>1421</v>
      </c>
      <c r="B36" s="76" t="s">
        <v>1422</v>
      </c>
      <c r="C36" s="77" t="s">
        <v>1431</v>
      </c>
      <c r="D36" s="77" t="s">
        <v>1430</v>
      </c>
      <c r="E36" s="77" t="s">
        <v>12</v>
      </c>
      <c r="F36" s="77" t="s">
        <v>1390</v>
      </c>
      <c r="G36" s="77" t="s">
        <v>716</v>
      </c>
      <c r="H36" s="77" t="s">
        <v>295</v>
      </c>
      <c r="I36" s="77" t="s">
        <v>16</v>
      </c>
      <c r="J36" s="77" t="s">
        <v>181</v>
      </c>
      <c r="K36" s="82" t="s">
        <v>38</v>
      </c>
      <c r="L36" s="82">
        <v>1</v>
      </c>
      <c r="M36" s="82"/>
      <c r="N36" s="79"/>
      <c r="O36" s="79"/>
      <c r="P36" s="79"/>
      <c r="Q36" s="83"/>
      <c r="R36" s="83"/>
      <c r="S36" s="83"/>
    </row>
    <row r="37" spans="1:19" x14ac:dyDescent="0.25">
      <c r="A37" s="76" t="s">
        <v>1421</v>
      </c>
      <c r="B37" s="76" t="s">
        <v>1422</v>
      </c>
      <c r="C37" s="77" t="s">
        <v>1432</v>
      </c>
      <c r="D37" s="77" t="s">
        <v>1430</v>
      </c>
      <c r="E37" s="77" t="s">
        <v>12</v>
      </c>
      <c r="F37" s="77" t="s">
        <v>435</v>
      </c>
      <c r="G37" s="77" t="s">
        <v>716</v>
      </c>
      <c r="H37" s="77" t="s">
        <v>295</v>
      </c>
      <c r="I37" s="77" t="s">
        <v>16</v>
      </c>
      <c r="J37" s="77" t="s">
        <v>181</v>
      </c>
      <c r="K37" s="82" t="s">
        <v>38</v>
      </c>
      <c r="L37" s="82">
        <v>1</v>
      </c>
      <c r="M37" s="82"/>
      <c r="N37" s="83">
        <v>10000</v>
      </c>
      <c r="O37" s="83">
        <v>10000</v>
      </c>
      <c r="P37" s="83">
        <v>10000</v>
      </c>
      <c r="Q37" s="83">
        <v>75000</v>
      </c>
      <c r="R37" s="83">
        <v>80000</v>
      </c>
      <c r="S37" s="83">
        <v>85000</v>
      </c>
    </row>
    <row r="38" spans="1:19" x14ac:dyDescent="0.25">
      <c r="A38" s="76" t="s">
        <v>1421</v>
      </c>
      <c r="B38" s="76" t="s">
        <v>1422</v>
      </c>
      <c r="C38" s="77" t="s">
        <v>1433</v>
      </c>
      <c r="D38" s="77" t="s">
        <v>1430</v>
      </c>
      <c r="E38" s="77" t="s">
        <v>12</v>
      </c>
      <c r="F38" s="77" t="s">
        <v>1393</v>
      </c>
      <c r="G38" s="77" t="s">
        <v>716</v>
      </c>
      <c r="H38" s="77" t="s">
        <v>295</v>
      </c>
      <c r="I38" s="77" t="s">
        <v>16</v>
      </c>
      <c r="J38" s="77" t="s">
        <v>181</v>
      </c>
      <c r="K38" s="82" t="s">
        <v>38</v>
      </c>
      <c r="L38" s="82">
        <v>1</v>
      </c>
      <c r="M38" s="82"/>
      <c r="N38" s="79">
        <v>0</v>
      </c>
      <c r="O38" s="79">
        <v>0</v>
      </c>
      <c r="P38" s="79">
        <v>0</v>
      </c>
      <c r="Q38" s="83">
        <v>15000</v>
      </c>
      <c r="R38" s="83">
        <v>20000</v>
      </c>
      <c r="S38" s="83">
        <v>25000</v>
      </c>
    </row>
    <row r="39" spans="1:19" hidden="1" x14ac:dyDescent="0.25">
      <c r="A39" s="76" t="s">
        <v>1421</v>
      </c>
      <c r="B39" s="76" t="s">
        <v>1422</v>
      </c>
      <c r="C39" s="77" t="s">
        <v>1434</v>
      </c>
      <c r="D39" s="77" t="s">
        <v>1430</v>
      </c>
      <c r="E39" s="77" t="s">
        <v>12</v>
      </c>
      <c r="F39" s="77" t="s">
        <v>1435</v>
      </c>
      <c r="G39" s="77" t="s">
        <v>716</v>
      </c>
      <c r="H39" s="77" t="s">
        <v>295</v>
      </c>
      <c r="I39" s="77" t="s">
        <v>16</v>
      </c>
      <c r="J39" s="77" t="s">
        <v>181</v>
      </c>
      <c r="K39" s="82" t="s">
        <v>38</v>
      </c>
      <c r="L39" s="82">
        <v>1</v>
      </c>
      <c r="M39" s="82"/>
    </row>
    <row r="41" spans="1:19" hidden="1" x14ac:dyDescent="0.25">
      <c r="A41" s="76" t="s">
        <v>1436</v>
      </c>
      <c r="B41" s="76" t="s">
        <v>1437</v>
      </c>
      <c r="C41" s="77" t="s">
        <v>1438</v>
      </c>
      <c r="D41" s="77" t="s">
        <v>1439</v>
      </c>
      <c r="E41" s="77" t="s">
        <v>12</v>
      </c>
      <c r="F41" s="77" t="s">
        <v>13</v>
      </c>
      <c r="G41" s="77" t="s">
        <v>716</v>
      </c>
      <c r="H41" s="77" t="s">
        <v>295</v>
      </c>
      <c r="I41" s="77" t="s">
        <v>16</v>
      </c>
      <c r="J41" s="77" t="s">
        <v>181</v>
      </c>
      <c r="K41" s="82" t="s">
        <v>38</v>
      </c>
      <c r="L41" s="82">
        <v>1</v>
      </c>
      <c r="M41" s="82"/>
      <c r="Q41" s="83"/>
      <c r="R41" s="83"/>
      <c r="S41" s="83"/>
    </row>
    <row r="42" spans="1:19" x14ac:dyDescent="0.25">
      <c r="A42" s="76" t="s">
        <v>1436</v>
      </c>
      <c r="B42" s="76" t="s">
        <v>1437</v>
      </c>
      <c r="C42" s="77" t="s">
        <v>1440</v>
      </c>
      <c r="D42" s="77" t="s">
        <v>1439</v>
      </c>
      <c r="E42" s="77" t="s">
        <v>12</v>
      </c>
      <c r="F42" s="77" t="s">
        <v>1390</v>
      </c>
      <c r="G42" s="77" t="s">
        <v>716</v>
      </c>
      <c r="H42" s="77" t="s">
        <v>295</v>
      </c>
      <c r="I42" s="77" t="s">
        <v>16</v>
      </c>
      <c r="J42" s="77" t="s">
        <v>181</v>
      </c>
      <c r="K42" s="82" t="s">
        <v>38</v>
      </c>
      <c r="L42" s="82">
        <v>1</v>
      </c>
      <c r="M42" s="82"/>
      <c r="N42" s="79">
        <v>0</v>
      </c>
      <c r="O42" s="79">
        <v>0</v>
      </c>
      <c r="P42" s="79">
        <v>0</v>
      </c>
      <c r="Q42" s="83">
        <v>50000</v>
      </c>
      <c r="R42" s="83">
        <v>55000</v>
      </c>
      <c r="S42" s="83">
        <v>60000</v>
      </c>
    </row>
    <row r="43" spans="1:19" ht="15.75" customHeight="1" x14ac:dyDescent="0.25">
      <c r="A43" s="76" t="s">
        <v>1436</v>
      </c>
      <c r="B43" s="76" t="s">
        <v>1437</v>
      </c>
      <c r="C43" s="77" t="s">
        <v>1441</v>
      </c>
      <c r="D43" s="77" t="s">
        <v>1439</v>
      </c>
      <c r="E43" s="77" t="s">
        <v>12</v>
      </c>
      <c r="F43" s="77" t="s">
        <v>435</v>
      </c>
      <c r="G43" s="77" t="s">
        <v>716</v>
      </c>
      <c r="H43" s="77" t="s">
        <v>295</v>
      </c>
      <c r="I43" s="77" t="s">
        <v>16</v>
      </c>
      <c r="J43" s="77" t="s">
        <v>181</v>
      </c>
      <c r="K43" s="82" t="s">
        <v>38</v>
      </c>
      <c r="L43" s="82">
        <v>1</v>
      </c>
      <c r="M43" s="82"/>
      <c r="N43" s="79">
        <v>0</v>
      </c>
      <c r="O43" s="83">
        <v>20000</v>
      </c>
      <c r="P43" s="83">
        <v>20000</v>
      </c>
      <c r="Q43" s="83">
        <v>130000</v>
      </c>
      <c r="R43" s="83">
        <v>130000</v>
      </c>
      <c r="S43" s="83">
        <v>140000</v>
      </c>
    </row>
    <row r="44" spans="1:19" x14ac:dyDescent="0.25">
      <c r="A44" s="76" t="s">
        <v>1436</v>
      </c>
      <c r="B44" s="76" t="s">
        <v>1437</v>
      </c>
      <c r="C44" s="77" t="s">
        <v>1442</v>
      </c>
      <c r="D44" s="77" t="s">
        <v>1439</v>
      </c>
      <c r="E44" s="77" t="s">
        <v>12</v>
      </c>
      <c r="F44" s="77" t="s">
        <v>1393</v>
      </c>
      <c r="G44" s="77" t="s">
        <v>716</v>
      </c>
      <c r="H44" s="77" t="s">
        <v>295</v>
      </c>
      <c r="I44" s="77" t="s">
        <v>16</v>
      </c>
      <c r="J44" s="77" t="s">
        <v>181</v>
      </c>
      <c r="K44" s="82" t="s">
        <v>38</v>
      </c>
      <c r="L44" s="82">
        <v>1</v>
      </c>
      <c r="M44" s="82"/>
      <c r="N44" s="74">
        <v>10000</v>
      </c>
      <c r="O44" s="74">
        <v>20000</v>
      </c>
      <c r="P44" s="74">
        <v>20000</v>
      </c>
      <c r="Q44" s="83">
        <v>20000</v>
      </c>
      <c r="R44" s="83">
        <v>25000</v>
      </c>
      <c r="S44" s="83">
        <v>30000</v>
      </c>
    </row>
    <row r="45" spans="1:19" hidden="1" x14ac:dyDescent="0.25">
      <c r="A45" s="76" t="s">
        <v>1436</v>
      </c>
      <c r="B45" s="76" t="s">
        <v>1437</v>
      </c>
      <c r="C45" s="77" t="s">
        <v>1443</v>
      </c>
      <c r="D45" s="77" t="s">
        <v>1444</v>
      </c>
      <c r="E45" s="77" t="s">
        <v>12</v>
      </c>
      <c r="F45" s="77" t="s">
        <v>895</v>
      </c>
      <c r="G45" s="77" t="s">
        <v>716</v>
      </c>
      <c r="H45" s="77" t="s">
        <v>292</v>
      </c>
      <c r="I45" s="77" t="s">
        <v>16</v>
      </c>
      <c r="J45" s="77" t="s">
        <v>179</v>
      </c>
      <c r="K45" s="82" t="s">
        <v>18</v>
      </c>
      <c r="L45" s="82">
        <v>3</v>
      </c>
      <c r="M45" s="82"/>
      <c r="Q45" s="83"/>
      <c r="R45" s="83"/>
      <c r="S45" s="83"/>
    </row>
    <row r="47" spans="1:19" hidden="1" x14ac:dyDescent="0.25">
      <c r="A47" s="76" t="s">
        <v>1445</v>
      </c>
      <c r="B47" s="76" t="s">
        <v>1446</v>
      </c>
      <c r="C47" s="77" t="s">
        <v>1447</v>
      </c>
      <c r="D47" s="77" t="s">
        <v>1448</v>
      </c>
      <c r="E47" s="77" t="s">
        <v>12</v>
      </c>
      <c r="F47" s="77" t="s">
        <v>1695</v>
      </c>
      <c r="G47" s="77" t="s">
        <v>716</v>
      </c>
      <c r="H47" s="77" t="s">
        <v>295</v>
      </c>
      <c r="I47" s="77" t="s">
        <v>16</v>
      </c>
      <c r="J47" s="77" t="s">
        <v>181</v>
      </c>
      <c r="K47" s="82" t="s">
        <v>38</v>
      </c>
      <c r="L47" s="82">
        <v>1</v>
      </c>
      <c r="M47" s="82"/>
    </row>
    <row r="48" spans="1:19" hidden="1" x14ac:dyDescent="0.25">
      <c r="A48" s="76" t="s">
        <v>1449</v>
      </c>
      <c r="B48" s="76" t="s">
        <v>1450</v>
      </c>
      <c r="C48" s="77" t="s">
        <v>1451</v>
      </c>
      <c r="D48" s="77" t="s">
        <v>1452</v>
      </c>
      <c r="E48" s="77" t="s">
        <v>12</v>
      </c>
      <c r="F48" s="77" t="s">
        <v>1390</v>
      </c>
      <c r="G48" s="77" t="s">
        <v>716</v>
      </c>
      <c r="H48" s="77" t="s">
        <v>292</v>
      </c>
      <c r="I48" s="77" t="s">
        <v>16</v>
      </c>
      <c r="J48" s="77" t="s">
        <v>179</v>
      </c>
      <c r="K48" s="82" t="s">
        <v>18</v>
      </c>
      <c r="L48" s="82">
        <v>3</v>
      </c>
      <c r="M48" s="82"/>
    </row>
    <row r="49" spans="1:19" x14ac:dyDescent="0.25">
      <c r="A49" s="76" t="s">
        <v>1449</v>
      </c>
      <c r="B49" s="76" t="s">
        <v>1450</v>
      </c>
      <c r="C49" s="77" t="s">
        <v>1453</v>
      </c>
      <c r="D49" s="77" t="s">
        <v>1452</v>
      </c>
      <c r="E49" s="77" t="s">
        <v>12</v>
      </c>
      <c r="F49" s="77" t="s">
        <v>1454</v>
      </c>
      <c r="G49" s="77" t="s">
        <v>716</v>
      </c>
      <c r="H49" s="77" t="s">
        <v>292</v>
      </c>
      <c r="I49" s="77" t="s">
        <v>16</v>
      </c>
      <c r="J49" s="77" t="s">
        <v>179</v>
      </c>
      <c r="K49" s="82" t="s">
        <v>18</v>
      </c>
      <c r="L49" s="82">
        <v>3</v>
      </c>
      <c r="M49" s="82"/>
      <c r="N49" s="74">
        <v>60000</v>
      </c>
      <c r="O49" s="74">
        <v>60000</v>
      </c>
      <c r="P49" s="74">
        <v>60000</v>
      </c>
      <c r="Q49" s="74">
        <v>100000</v>
      </c>
      <c r="R49" s="74">
        <v>130000</v>
      </c>
      <c r="S49" s="74">
        <v>135000</v>
      </c>
    </row>
    <row r="50" spans="1:19" hidden="1" x14ac:dyDescent="0.25">
      <c r="A50" s="76" t="s">
        <v>1449</v>
      </c>
      <c r="B50" s="76" t="s">
        <v>1450</v>
      </c>
      <c r="C50" s="77" t="s">
        <v>1455</v>
      </c>
      <c r="D50" s="77" t="s">
        <v>1452</v>
      </c>
      <c r="E50" s="77" t="s">
        <v>12</v>
      </c>
      <c r="F50" s="77" t="s">
        <v>435</v>
      </c>
      <c r="G50" s="77" t="s">
        <v>716</v>
      </c>
      <c r="H50" s="77" t="s">
        <v>292</v>
      </c>
      <c r="I50" s="77" t="s">
        <v>16</v>
      </c>
      <c r="J50" s="77" t="s">
        <v>179</v>
      </c>
      <c r="K50" s="82" t="s">
        <v>18</v>
      </c>
      <c r="L50" s="82">
        <v>3</v>
      </c>
      <c r="M50" s="82"/>
      <c r="N50" s="83">
        <v>0</v>
      </c>
      <c r="O50" s="83"/>
      <c r="P50" s="83"/>
    </row>
    <row r="51" spans="1:19" hidden="1" x14ac:dyDescent="0.25">
      <c r="A51" s="76" t="s">
        <v>1458</v>
      </c>
      <c r="B51" s="76" t="s">
        <v>1450</v>
      </c>
      <c r="C51" s="77" t="s">
        <v>1456</v>
      </c>
      <c r="D51" s="77" t="s">
        <v>1457</v>
      </c>
      <c r="E51" s="77" t="s">
        <v>12</v>
      </c>
      <c r="F51" s="77" t="s">
        <v>1393</v>
      </c>
      <c r="G51" s="77" t="s">
        <v>716</v>
      </c>
      <c r="H51" s="77" t="s">
        <v>295</v>
      </c>
      <c r="I51" s="77" t="s">
        <v>16</v>
      </c>
      <c r="J51" s="77" t="s">
        <v>181</v>
      </c>
      <c r="K51" s="82" t="s">
        <v>38</v>
      </c>
      <c r="L51" s="82">
        <v>1</v>
      </c>
      <c r="M51" s="82"/>
      <c r="N51" s="83">
        <v>0</v>
      </c>
      <c r="O51" s="83"/>
      <c r="P51" s="83"/>
    </row>
    <row r="52" spans="1:19" x14ac:dyDescent="0.25">
      <c r="A52" s="76" t="s">
        <v>1449</v>
      </c>
      <c r="B52" s="76" t="s">
        <v>1450</v>
      </c>
      <c r="C52" s="76" t="s">
        <v>1921</v>
      </c>
      <c r="D52" s="77"/>
      <c r="E52" s="77"/>
      <c r="F52" s="77" t="s">
        <v>895</v>
      </c>
      <c r="G52" s="77"/>
      <c r="H52" s="77"/>
      <c r="I52" s="77"/>
      <c r="J52" s="77"/>
      <c r="K52" s="82"/>
      <c r="L52" s="82"/>
      <c r="M52" s="82"/>
      <c r="N52" s="74">
        <v>30000</v>
      </c>
      <c r="O52" s="74">
        <v>30000</v>
      </c>
      <c r="P52" s="74">
        <v>30000</v>
      </c>
      <c r="Q52" s="83">
        <v>0</v>
      </c>
      <c r="R52" s="83">
        <v>0</v>
      </c>
      <c r="S52" s="83">
        <v>0</v>
      </c>
    </row>
    <row r="54" spans="1:19" x14ac:dyDescent="0.25">
      <c r="A54" s="76" t="s">
        <v>1458</v>
      </c>
      <c r="B54" s="76" t="s">
        <v>1459</v>
      </c>
      <c r="C54" s="77" t="s">
        <v>1460</v>
      </c>
      <c r="D54" s="77" t="s">
        <v>1461</v>
      </c>
      <c r="E54" s="77" t="s">
        <v>546</v>
      </c>
      <c r="F54" s="77" t="s">
        <v>13</v>
      </c>
      <c r="G54" s="77" t="s">
        <v>716</v>
      </c>
      <c r="H54" s="77" t="s">
        <v>295</v>
      </c>
      <c r="I54" s="77" t="s">
        <v>16</v>
      </c>
      <c r="J54" s="77" t="s">
        <v>181</v>
      </c>
      <c r="K54" s="82" t="s">
        <v>38</v>
      </c>
      <c r="L54" s="82">
        <v>1</v>
      </c>
      <c r="M54" s="82"/>
      <c r="N54" s="74">
        <v>0</v>
      </c>
      <c r="O54" s="74">
        <f>600000+1000000</f>
        <v>1600000</v>
      </c>
      <c r="P54" s="74">
        <v>1600000</v>
      </c>
      <c r="Q54" s="83">
        <v>100000</v>
      </c>
      <c r="R54" s="83">
        <v>100000</v>
      </c>
      <c r="S54" s="83">
        <v>110000</v>
      </c>
    </row>
    <row r="55" spans="1:19" x14ac:dyDescent="0.25">
      <c r="A55" s="76" t="s">
        <v>1458</v>
      </c>
      <c r="B55" s="76" t="s">
        <v>1459</v>
      </c>
      <c r="C55" s="77" t="s">
        <v>1462</v>
      </c>
      <c r="D55" s="77" t="s">
        <v>1463</v>
      </c>
      <c r="E55" s="77" t="s">
        <v>546</v>
      </c>
      <c r="F55" s="77" t="s">
        <v>895</v>
      </c>
      <c r="G55" s="77" t="s">
        <v>716</v>
      </c>
      <c r="H55" s="77" t="s">
        <v>292</v>
      </c>
      <c r="I55" s="77" t="s">
        <v>16</v>
      </c>
      <c r="J55" s="77" t="s">
        <v>179</v>
      </c>
      <c r="K55" s="82" t="s">
        <v>18</v>
      </c>
      <c r="L55" s="82">
        <v>3</v>
      </c>
      <c r="M55" s="82"/>
      <c r="N55" s="74">
        <v>0</v>
      </c>
      <c r="O55" s="74">
        <v>200000</v>
      </c>
      <c r="P55" s="74">
        <v>200000</v>
      </c>
      <c r="Q55" s="83">
        <v>50000</v>
      </c>
      <c r="R55" s="83">
        <v>55000</v>
      </c>
      <c r="S55" s="83">
        <v>60000</v>
      </c>
    </row>
    <row r="56" spans="1:19" x14ac:dyDescent="0.25">
      <c r="A56" s="76" t="s">
        <v>1458</v>
      </c>
      <c r="B56" s="76" t="s">
        <v>1459</v>
      </c>
      <c r="C56" s="77" t="s">
        <v>1464</v>
      </c>
      <c r="D56" s="77" t="s">
        <v>1463</v>
      </c>
      <c r="E56" s="77" t="s">
        <v>546</v>
      </c>
      <c r="F56" s="77" t="s">
        <v>1390</v>
      </c>
      <c r="G56" s="77" t="s">
        <v>716</v>
      </c>
      <c r="H56" s="77" t="s">
        <v>292</v>
      </c>
      <c r="I56" s="77" t="s">
        <v>16</v>
      </c>
      <c r="J56" s="77" t="s">
        <v>179</v>
      </c>
      <c r="K56" s="82" t="s">
        <v>18</v>
      </c>
      <c r="L56" s="82">
        <v>3</v>
      </c>
      <c r="M56" s="82"/>
      <c r="N56" s="74">
        <v>0</v>
      </c>
      <c r="O56" s="74">
        <v>25000</v>
      </c>
      <c r="P56" s="74">
        <v>25000</v>
      </c>
      <c r="Q56" s="83">
        <v>200000</v>
      </c>
      <c r="R56" s="83">
        <v>205000</v>
      </c>
      <c r="S56" s="83">
        <v>210000</v>
      </c>
    </row>
    <row r="57" spans="1:19" x14ac:dyDescent="0.25">
      <c r="A57" s="76" t="s">
        <v>1458</v>
      </c>
      <c r="B57" s="76" t="s">
        <v>1459</v>
      </c>
      <c r="C57" s="77" t="s">
        <v>1465</v>
      </c>
      <c r="D57" s="77" t="s">
        <v>1463</v>
      </c>
      <c r="E57" s="77" t="s">
        <v>546</v>
      </c>
      <c r="F57" s="77" t="s">
        <v>435</v>
      </c>
      <c r="G57" s="77" t="s">
        <v>716</v>
      </c>
      <c r="H57" s="77" t="s">
        <v>292</v>
      </c>
      <c r="I57" s="77" t="s">
        <v>16</v>
      </c>
      <c r="J57" s="77" t="s">
        <v>179</v>
      </c>
      <c r="K57" s="82" t="s">
        <v>18</v>
      </c>
      <c r="L57" s="82">
        <v>3</v>
      </c>
      <c r="M57" s="82"/>
      <c r="N57" s="74">
        <v>50000</v>
      </c>
      <c r="O57" s="74">
        <f>100000+200000</f>
        <v>300000</v>
      </c>
      <c r="P57" s="74">
        <v>300000</v>
      </c>
      <c r="Q57" s="83">
        <v>200000</v>
      </c>
      <c r="R57" s="83">
        <v>205000</v>
      </c>
      <c r="S57" s="83">
        <v>210000</v>
      </c>
    </row>
    <row r="58" spans="1:19" x14ac:dyDescent="0.25">
      <c r="A58" s="76" t="s">
        <v>1458</v>
      </c>
      <c r="B58" s="76" t="s">
        <v>1459</v>
      </c>
      <c r="C58" s="77" t="s">
        <v>1466</v>
      </c>
      <c r="D58" s="77" t="s">
        <v>1463</v>
      </c>
      <c r="E58" s="77" t="s">
        <v>546</v>
      </c>
      <c r="F58" s="77" t="s">
        <v>1393</v>
      </c>
      <c r="G58" s="77" t="s">
        <v>716</v>
      </c>
      <c r="H58" s="77" t="s">
        <v>292</v>
      </c>
      <c r="I58" s="77" t="s">
        <v>16</v>
      </c>
      <c r="J58" s="77" t="s">
        <v>179</v>
      </c>
      <c r="K58" s="82" t="s">
        <v>18</v>
      </c>
      <c r="L58" s="82">
        <v>3</v>
      </c>
      <c r="M58" s="82"/>
      <c r="N58" s="74">
        <v>0</v>
      </c>
      <c r="O58" s="74">
        <v>50000</v>
      </c>
      <c r="P58" s="74">
        <v>50000</v>
      </c>
      <c r="Q58" s="83">
        <v>150000</v>
      </c>
      <c r="R58" s="83">
        <v>155000</v>
      </c>
      <c r="S58" s="83">
        <v>160000</v>
      </c>
    </row>
    <row r="60" spans="1:19" hidden="1" x14ac:dyDescent="0.25">
      <c r="A60" s="76" t="s">
        <v>1467</v>
      </c>
      <c r="B60" s="76" t="s">
        <v>1468</v>
      </c>
      <c r="C60" s="77" t="s">
        <v>1469</v>
      </c>
      <c r="D60" s="77" t="s">
        <v>1448</v>
      </c>
      <c r="E60" s="77" t="s">
        <v>12</v>
      </c>
      <c r="F60" s="77" t="s">
        <v>13</v>
      </c>
      <c r="G60" s="77" t="s">
        <v>716</v>
      </c>
      <c r="H60" s="77" t="s">
        <v>295</v>
      </c>
      <c r="I60" s="77" t="s">
        <v>16</v>
      </c>
      <c r="J60" s="77" t="s">
        <v>181</v>
      </c>
      <c r="K60" s="82" t="s">
        <v>38</v>
      </c>
      <c r="L60" s="82">
        <v>1</v>
      </c>
      <c r="M60" s="82"/>
      <c r="N60" s="74">
        <v>0</v>
      </c>
      <c r="O60" s="74">
        <v>0</v>
      </c>
      <c r="P60" s="74">
        <v>0</v>
      </c>
    </row>
    <row r="61" spans="1:19" x14ac:dyDescent="0.25">
      <c r="A61" s="76" t="s">
        <v>1467</v>
      </c>
      <c r="B61" s="76" t="s">
        <v>1468</v>
      </c>
      <c r="C61" s="77" t="s">
        <v>1470</v>
      </c>
      <c r="D61" s="77" t="s">
        <v>1471</v>
      </c>
      <c r="E61" s="77" t="s">
        <v>12</v>
      </c>
      <c r="F61" s="77" t="s">
        <v>895</v>
      </c>
      <c r="G61" s="77" t="s">
        <v>716</v>
      </c>
      <c r="H61" s="77" t="s">
        <v>292</v>
      </c>
      <c r="I61" s="77" t="s">
        <v>16</v>
      </c>
      <c r="J61" s="77" t="s">
        <v>179</v>
      </c>
      <c r="K61" s="82" t="s">
        <v>18</v>
      </c>
      <c r="L61" s="82">
        <v>3</v>
      </c>
      <c r="M61" s="82"/>
      <c r="N61" s="74">
        <v>40000</v>
      </c>
      <c r="O61" s="74">
        <v>40000</v>
      </c>
      <c r="P61" s="74">
        <v>40000</v>
      </c>
      <c r="Q61" s="83">
        <v>50000</v>
      </c>
      <c r="R61" s="83">
        <v>55000</v>
      </c>
      <c r="S61" s="83">
        <v>60000</v>
      </c>
    </row>
    <row r="62" spans="1:19" x14ac:dyDescent="0.25">
      <c r="A62" s="76" t="s">
        <v>1467</v>
      </c>
      <c r="B62" s="76" t="s">
        <v>1468</v>
      </c>
      <c r="C62" s="77" t="s">
        <v>1472</v>
      </c>
      <c r="D62" s="77" t="s">
        <v>1471</v>
      </c>
      <c r="E62" s="77" t="s">
        <v>12</v>
      </c>
      <c r="F62" s="77" t="s">
        <v>1473</v>
      </c>
      <c r="G62" s="77" t="s">
        <v>716</v>
      </c>
      <c r="H62" s="77" t="s">
        <v>292</v>
      </c>
      <c r="I62" s="77" t="s">
        <v>16</v>
      </c>
      <c r="J62" s="77" t="s">
        <v>179</v>
      </c>
      <c r="K62" s="82" t="s">
        <v>18</v>
      </c>
      <c r="L62" s="82">
        <v>3</v>
      </c>
      <c r="M62" s="82"/>
      <c r="N62" s="74">
        <v>902000</v>
      </c>
      <c r="O62" s="74">
        <v>1002000</v>
      </c>
      <c r="P62" s="74">
        <v>1002000</v>
      </c>
      <c r="Q62" s="83">
        <v>1000000</v>
      </c>
      <c r="R62" s="83">
        <v>1000000</v>
      </c>
      <c r="S62" s="83">
        <v>1100000</v>
      </c>
    </row>
    <row r="63" spans="1:19" hidden="1" x14ac:dyDescent="0.25">
      <c r="A63" s="76" t="s">
        <v>1467</v>
      </c>
      <c r="B63" s="76" t="s">
        <v>1468</v>
      </c>
      <c r="C63" s="77" t="s">
        <v>1474</v>
      </c>
      <c r="D63" s="77" t="s">
        <v>1448</v>
      </c>
      <c r="E63" s="77" t="s">
        <v>12</v>
      </c>
      <c r="F63" s="77" t="s">
        <v>1390</v>
      </c>
      <c r="G63" s="77" t="s">
        <v>716</v>
      </c>
      <c r="H63" s="77" t="s">
        <v>295</v>
      </c>
      <c r="I63" s="77" t="s">
        <v>16</v>
      </c>
      <c r="J63" s="77" t="s">
        <v>181</v>
      </c>
      <c r="K63" s="82" t="s">
        <v>38</v>
      </c>
      <c r="L63" s="82">
        <v>1</v>
      </c>
      <c r="M63" s="82"/>
      <c r="N63" s="74"/>
      <c r="O63" s="74"/>
      <c r="P63" s="74"/>
      <c r="Q63" s="83"/>
      <c r="R63" s="83"/>
      <c r="S63" s="83"/>
    </row>
    <row r="64" spans="1:19" x14ac:dyDescent="0.25">
      <c r="A64" s="76" t="s">
        <v>1467</v>
      </c>
      <c r="B64" s="76" t="s">
        <v>1468</v>
      </c>
      <c r="C64" s="77" t="s">
        <v>1475</v>
      </c>
      <c r="D64" s="77" t="s">
        <v>1471</v>
      </c>
      <c r="E64" s="77" t="s">
        <v>12</v>
      </c>
      <c r="F64" s="77" t="s">
        <v>413</v>
      </c>
      <c r="G64" s="77" t="s">
        <v>716</v>
      </c>
      <c r="H64" s="77" t="s">
        <v>292</v>
      </c>
      <c r="I64" s="77" t="s">
        <v>16</v>
      </c>
      <c r="J64" s="77" t="s">
        <v>179</v>
      </c>
      <c r="K64" s="82" t="s">
        <v>18</v>
      </c>
      <c r="L64" s="82">
        <v>3</v>
      </c>
      <c r="M64" s="82"/>
      <c r="N64" s="74">
        <v>400000</v>
      </c>
      <c r="O64" s="74">
        <v>525000</v>
      </c>
      <c r="P64" s="74">
        <v>525000</v>
      </c>
      <c r="Q64" s="83">
        <v>550000</v>
      </c>
      <c r="R64" s="83">
        <v>555000</v>
      </c>
      <c r="S64" s="83">
        <v>560000</v>
      </c>
    </row>
    <row r="65" spans="1:19" x14ac:dyDescent="0.25">
      <c r="A65" s="76" t="s">
        <v>1467</v>
      </c>
      <c r="B65" s="76" t="s">
        <v>1468</v>
      </c>
      <c r="C65" s="76" t="s">
        <v>1922</v>
      </c>
      <c r="F65" s="82" t="s">
        <v>1834</v>
      </c>
      <c r="N65" s="74">
        <v>200000</v>
      </c>
      <c r="O65" s="74">
        <v>100000</v>
      </c>
      <c r="P65" s="74">
        <v>100000</v>
      </c>
      <c r="Q65" s="83">
        <v>300000</v>
      </c>
      <c r="R65" s="83">
        <v>305000</v>
      </c>
      <c r="S65" s="83">
        <v>310000</v>
      </c>
    </row>
    <row r="66" spans="1:19" x14ac:dyDescent="0.25">
      <c r="A66" s="76"/>
      <c r="B66" s="76"/>
      <c r="F66" s="82"/>
    </row>
    <row r="67" spans="1:19" x14ac:dyDescent="0.25">
      <c r="A67" s="76" t="s">
        <v>1476</v>
      </c>
      <c r="B67" s="76" t="s">
        <v>1477</v>
      </c>
      <c r="C67" s="77" t="s">
        <v>1478</v>
      </c>
      <c r="D67" s="77" t="s">
        <v>1435</v>
      </c>
      <c r="E67" s="77" t="s">
        <v>716</v>
      </c>
      <c r="F67" s="77" t="s">
        <v>895</v>
      </c>
      <c r="G67" s="82">
        <v>1</v>
      </c>
      <c r="H67" s="82"/>
      <c r="I67" s="88">
        <v>0</v>
      </c>
      <c r="J67" s="76"/>
      <c r="K67" s="76"/>
      <c r="L67" s="76"/>
      <c r="M67" s="76"/>
      <c r="N67" s="74">
        <v>100000</v>
      </c>
      <c r="O67" s="74">
        <v>50000</v>
      </c>
      <c r="P67" s="74">
        <v>50000</v>
      </c>
      <c r="Q67" s="83">
        <v>150000</v>
      </c>
      <c r="R67" s="83">
        <v>155000</v>
      </c>
      <c r="S67" s="83">
        <v>160000</v>
      </c>
    </row>
    <row r="68" spans="1:19" hidden="1" x14ac:dyDescent="0.25">
      <c r="A68" s="76" t="s">
        <v>1476</v>
      </c>
      <c r="B68" s="76" t="s">
        <v>1477</v>
      </c>
      <c r="C68" s="77" t="s">
        <v>1479</v>
      </c>
      <c r="D68" s="77" t="s">
        <v>1390</v>
      </c>
      <c r="E68" s="77" t="s">
        <v>716</v>
      </c>
      <c r="F68" s="77" t="s">
        <v>1390</v>
      </c>
      <c r="G68" s="82">
        <v>1</v>
      </c>
      <c r="H68" s="82"/>
      <c r="I68" s="88">
        <v>0</v>
      </c>
      <c r="J68" s="76"/>
      <c r="K68" s="76"/>
      <c r="L68" s="76"/>
      <c r="M68" s="76"/>
      <c r="N68" s="74">
        <v>0</v>
      </c>
      <c r="O68" s="74"/>
      <c r="P68" s="74"/>
    </row>
    <row r="69" spans="1:19" hidden="1" x14ac:dyDescent="0.25">
      <c r="A69" s="76" t="s">
        <v>1476</v>
      </c>
      <c r="B69" s="76" t="s">
        <v>1477</v>
      </c>
      <c r="C69" s="77" t="s">
        <v>1480</v>
      </c>
      <c r="D69" s="77" t="s">
        <v>435</v>
      </c>
      <c r="E69" s="77" t="s">
        <v>716</v>
      </c>
      <c r="F69" s="77" t="s">
        <v>435</v>
      </c>
      <c r="G69" s="82">
        <v>1</v>
      </c>
      <c r="H69" s="82"/>
      <c r="I69" s="88">
        <v>0</v>
      </c>
      <c r="J69" s="76"/>
      <c r="K69" s="76"/>
      <c r="L69" s="76"/>
      <c r="M69" s="76"/>
      <c r="N69" s="74">
        <v>0</v>
      </c>
      <c r="O69" s="74"/>
      <c r="P69" s="74"/>
    </row>
    <row r="70" spans="1:19" hidden="1" x14ac:dyDescent="0.25">
      <c r="A70" s="76" t="s">
        <v>1476</v>
      </c>
      <c r="B70" s="76" t="s">
        <v>1477</v>
      </c>
      <c r="C70" s="77" t="s">
        <v>1481</v>
      </c>
      <c r="D70" s="77" t="s">
        <v>1393</v>
      </c>
      <c r="E70" s="77" t="s">
        <v>716</v>
      </c>
      <c r="F70" s="77" t="s">
        <v>1393</v>
      </c>
      <c r="G70" s="82">
        <v>1</v>
      </c>
      <c r="H70" s="82"/>
      <c r="I70" s="88">
        <v>0</v>
      </c>
      <c r="J70" s="76"/>
      <c r="K70" s="76"/>
      <c r="L70" s="76"/>
      <c r="M70" s="76"/>
      <c r="N70" s="74">
        <v>0</v>
      </c>
      <c r="O70" s="74"/>
      <c r="P70" s="74"/>
    </row>
    <row r="71" spans="1:19" x14ac:dyDescent="0.25">
      <c r="A71" s="76"/>
      <c r="B71" s="76"/>
      <c r="C71" s="77"/>
      <c r="D71" s="77"/>
      <c r="E71" s="77"/>
      <c r="F71" s="77"/>
      <c r="G71" s="82"/>
      <c r="H71" s="82"/>
      <c r="I71" s="88"/>
      <c r="J71" s="76"/>
      <c r="K71" s="76"/>
      <c r="L71" s="76"/>
      <c r="M71" s="76"/>
    </row>
    <row r="72" spans="1:19" x14ac:dyDescent="0.25">
      <c r="A72" s="76" t="s">
        <v>1482</v>
      </c>
      <c r="B72" s="76" t="s">
        <v>1483</v>
      </c>
      <c r="C72" s="77" t="s">
        <v>1484</v>
      </c>
      <c r="D72" s="77" t="s">
        <v>1485</v>
      </c>
      <c r="E72" s="77" t="s">
        <v>12</v>
      </c>
      <c r="F72" s="77" t="s">
        <v>1486</v>
      </c>
      <c r="G72" s="77" t="s">
        <v>716</v>
      </c>
      <c r="H72" s="77" t="s">
        <v>292</v>
      </c>
      <c r="I72" s="77" t="s">
        <v>16</v>
      </c>
      <c r="J72" s="77" t="s">
        <v>179</v>
      </c>
      <c r="K72" s="82" t="s">
        <v>18</v>
      </c>
      <c r="L72" s="82">
        <v>3</v>
      </c>
      <c r="M72" s="82"/>
      <c r="N72" s="74">
        <v>300000</v>
      </c>
      <c r="O72" s="105">
        <v>50000</v>
      </c>
      <c r="P72" s="105">
        <v>50000</v>
      </c>
      <c r="Q72" s="83">
        <v>100000</v>
      </c>
      <c r="R72" s="83">
        <v>105000</v>
      </c>
      <c r="S72" s="83">
        <v>110000</v>
      </c>
    </row>
    <row r="74" spans="1:19" x14ac:dyDescent="0.25">
      <c r="A74" s="76" t="s">
        <v>1487</v>
      </c>
      <c r="B74" s="76" t="s">
        <v>1488</v>
      </c>
      <c r="C74" s="77" t="s">
        <v>1489</v>
      </c>
      <c r="D74" s="77" t="s">
        <v>1490</v>
      </c>
      <c r="E74" s="77" t="s">
        <v>546</v>
      </c>
      <c r="F74" s="77" t="s">
        <v>1393</v>
      </c>
      <c r="G74" s="77" t="s">
        <v>716</v>
      </c>
      <c r="H74" s="77" t="s">
        <v>292</v>
      </c>
      <c r="I74" s="77" t="s">
        <v>16</v>
      </c>
      <c r="J74" s="77" t="s">
        <v>179</v>
      </c>
      <c r="K74" s="82" t="s">
        <v>18</v>
      </c>
      <c r="L74" s="82">
        <v>3</v>
      </c>
      <c r="M74" s="82"/>
      <c r="N74" s="74">
        <v>300000</v>
      </c>
      <c r="O74" s="74">
        <v>300000</v>
      </c>
      <c r="P74" s="74">
        <v>300000</v>
      </c>
      <c r="Q74" s="83">
        <v>300000</v>
      </c>
      <c r="R74" s="83">
        <v>300000</v>
      </c>
      <c r="S74" s="83">
        <v>300000</v>
      </c>
    </row>
    <row r="75" spans="1:19" x14ac:dyDescent="0.25">
      <c r="A75" s="76" t="s">
        <v>1487</v>
      </c>
      <c r="B75" s="76" t="s">
        <v>1488</v>
      </c>
      <c r="C75" s="77" t="s">
        <v>1491</v>
      </c>
      <c r="D75" s="77" t="s">
        <v>1490</v>
      </c>
      <c r="E75" s="77" t="s">
        <v>546</v>
      </c>
      <c r="F75" s="77" t="s">
        <v>435</v>
      </c>
      <c r="G75" s="77" t="s">
        <v>716</v>
      </c>
      <c r="H75" s="77" t="s">
        <v>292</v>
      </c>
      <c r="I75" s="77" t="s">
        <v>16</v>
      </c>
      <c r="J75" s="77" t="s">
        <v>179</v>
      </c>
      <c r="K75" s="82" t="s">
        <v>18</v>
      </c>
      <c r="L75" s="82">
        <v>3</v>
      </c>
      <c r="M75" s="82"/>
      <c r="N75" s="74">
        <v>100000</v>
      </c>
      <c r="O75" s="74">
        <v>100000</v>
      </c>
      <c r="P75" s="74">
        <v>100000</v>
      </c>
      <c r="Q75" s="83">
        <v>100000</v>
      </c>
      <c r="R75" s="83">
        <v>100000</v>
      </c>
      <c r="S75" s="83">
        <v>100000</v>
      </c>
    </row>
    <row r="76" spans="1:19" x14ac:dyDescent="0.25">
      <c r="A76" s="76" t="s">
        <v>1487</v>
      </c>
      <c r="B76" s="76" t="s">
        <v>1488</v>
      </c>
      <c r="C76" s="77" t="s">
        <v>1492</v>
      </c>
      <c r="D76" s="77" t="s">
        <v>1490</v>
      </c>
      <c r="E76" s="77" t="s">
        <v>546</v>
      </c>
      <c r="F76" s="77" t="s">
        <v>1390</v>
      </c>
      <c r="G76" s="77" t="s">
        <v>716</v>
      </c>
      <c r="H76" s="77" t="s">
        <v>292</v>
      </c>
      <c r="I76" s="77" t="s">
        <v>16</v>
      </c>
      <c r="J76" s="77" t="s">
        <v>179</v>
      </c>
      <c r="K76" s="82" t="s">
        <v>18</v>
      </c>
      <c r="L76" s="82">
        <v>3</v>
      </c>
      <c r="M76" s="82"/>
      <c r="N76" s="74">
        <v>200000</v>
      </c>
      <c r="O76" s="74">
        <v>200000</v>
      </c>
      <c r="P76" s="74">
        <v>200000</v>
      </c>
      <c r="Q76" s="83">
        <v>200000</v>
      </c>
      <c r="R76" s="83">
        <v>200000</v>
      </c>
      <c r="S76" s="83">
        <v>200000</v>
      </c>
    </row>
    <row r="77" spans="1:19" x14ac:dyDescent="0.25">
      <c r="A77" s="76" t="s">
        <v>1487</v>
      </c>
      <c r="B77" s="76" t="s">
        <v>1488</v>
      </c>
      <c r="C77" s="77" t="s">
        <v>1493</v>
      </c>
      <c r="D77" s="77" t="s">
        <v>1490</v>
      </c>
      <c r="E77" s="77" t="s">
        <v>546</v>
      </c>
      <c r="F77" s="77" t="s">
        <v>1435</v>
      </c>
      <c r="G77" s="77" t="s">
        <v>716</v>
      </c>
      <c r="H77" s="77" t="s">
        <v>295</v>
      </c>
      <c r="I77" s="77" t="s">
        <v>16</v>
      </c>
      <c r="J77" s="77" t="s">
        <v>181</v>
      </c>
      <c r="K77" s="82" t="s">
        <v>38</v>
      </c>
      <c r="L77" s="82">
        <v>1</v>
      </c>
      <c r="M77" s="82"/>
      <c r="N77" s="74">
        <v>200000</v>
      </c>
      <c r="O77" s="74">
        <v>200000</v>
      </c>
      <c r="P77" s="74">
        <v>200000</v>
      </c>
      <c r="Q77" s="83">
        <v>200000</v>
      </c>
      <c r="R77" s="83">
        <v>200000</v>
      </c>
      <c r="S77" s="83">
        <v>200000</v>
      </c>
    </row>
    <row r="78" spans="1:19" hidden="1" x14ac:dyDescent="0.25">
      <c r="A78" s="76" t="s">
        <v>1487</v>
      </c>
      <c r="B78" s="76" t="s">
        <v>1488</v>
      </c>
      <c r="C78" s="77" t="s">
        <v>1494</v>
      </c>
      <c r="D78" s="77" t="s">
        <v>1495</v>
      </c>
      <c r="E78" s="77" t="s">
        <v>546</v>
      </c>
      <c r="F78" s="77" t="s">
        <v>1390</v>
      </c>
      <c r="G78" s="77" t="s">
        <v>716</v>
      </c>
      <c r="H78" s="77" t="s">
        <v>292</v>
      </c>
      <c r="I78" s="77" t="s">
        <v>16</v>
      </c>
      <c r="J78" s="77" t="s">
        <v>179</v>
      </c>
      <c r="K78" s="82" t="s">
        <v>18</v>
      </c>
      <c r="L78" s="82">
        <v>3</v>
      </c>
      <c r="M78" s="82"/>
    </row>
    <row r="79" spans="1:19" hidden="1" x14ac:dyDescent="0.25">
      <c r="A79" s="76" t="s">
        <v>1487</v>
      </c>
      <c r="B79" s="76" t="s">
        <v>1488</v>
      </c>
      <c r="C79" s="77" t="s">
        <v>1496</v>
      </c>
      <c r="D79" s="77" t="s">
        <v>1495</v>
      </c>
      <c r="E79" s="77" t="s">
        <v>546</v>
      </c>
      <c r="F79" s="77" t="s">
        <v>435</v>
      </c>
      <c r="G79" s="77" t="s">
        <v>716</v>
      </c>
      <c r="H79" s="77" t="s">
        <v>292</v>
      </c>
      <c r="I79" s="77" t="s">
        <v>16</v>
      </c>
      <c r="J79" s="77" t="s">
        <v>179</v>
      </c>
      <c r="K79" s="82" t="s">
        <v>18</v>
      </c>
      <c r="L79" s="82">
        <v>3</v>
      </c>
      <c r="M79" s="82"/>
    </row>
    <row r="80" spans="1:19" hidden="1" x14ac:dyDescent="0.25">
      <c r="A80" s="76" t="s">
        <v>1487</v>
      </c>
      <c r="B80" s="76" t="s">
        <v>1488</v>
      </c>
      <c r="C80" s="77" t="s">
        <v>1497</v>
      </c>
      <c r="D80" s="77" t="s">
        <v>1495</v>
      </c>
      <c r="E80" s="77" t="s">
        <v>546</v>
      </c>
      <c r="F80" s="77" t="s">
        <v>1393</v>
      </c>
      <c r="G80" s="77" t="s">
        <v>716</v>
      </c>
      <c r="H80" s="77" t="s">
        <v>292</v>
      </c>
      <c r="I80" s="77" t="s">
        <v>16</v>
      </c>
      <c r="J80" s="77" t="s">
        <v>179</v>
      </c>
      <c r="K80" s="82" t="s">
        <v>18</v>
      </c>
      <c r="L80" s="82">
        <v>3</v>
      </c>
      <c r="M80" s="82"/>
    </row>
    <row r="81" spans="1:19" ht="21.75" customHeight="1" x14ac:dyDescent="0.25">
      <c r="A81" s="76"/>
      <c r="B81" s="76"/>
      <c r="C81" s="77"/>
      <c r="D81" s="77"/>
      <c r="E81" s="77"/>
      <c r="F81" s="77"/>
      <c r="G81" s="77"/>
      <c r="H81" s="77"/>
      <c r="I81" s="77"/>
      <c r="J81" s="77"/>
      <c r="K81" s="82"/>
      <c r="L81" s="82"/>
      <c r="M81" s="82"/>
    </row>
    <row r="82" spans="1:19" x14ac:dyDescent="0.25">
      <c r="A82" s="76" t="s">
        <v>1923</v>
      </c>
      <c r="B82" s="76" t="s">
        <v>1830</v>
      </c>
      <c r="C82" s="76" t="s">
        <v>1924</v>
      </c>
      <c r="D82" s="76" t="s">
        <v>1924</v>
      </c>
      <c r="E82" s="77"/>
      <c r="F82" s="77" t="s">
        <v>435</v>
      </c>
      <c r="G82" s="77"/>
      <c r="H82" s="77"/>
      <c r="I82" s="77"/>
      <c r="J82" s="77"/>
      <c r="K82" s="82"/>
      <c r="L82" s="82"/>
      <c r="M82" s="82"/>
      <c r="N82" s="123">
        <v>50000</v>
      </c>
      <c r="O82" s="123">
        <v>50000</v>
      </c>
      <c r="P82" s="123">
        <v>50000</v>
      </c>
      <c r="Q82" s="83">
        <v>80000</v>
      </c>
      <c r="R82" s="83">
        <v>90000</v>
      </c>
      <c r="S82" s="83">
        <v>100000</v>
      </c>
    </row>
    <row r="83" spans="1:19" x14ac:dyDescent="0.25">
      <c r="A83" s="76" t="s">
        <v>1923</v>
      </c>
      <c r="B83" s="76" t="s">
        <v>1830</v>
      </c>
      <c r="C83" s="76" t="s">
        <v>1925</v>
      </c>
      <c r="D83" s="77"/>
      <c r="E83" s="77"/>
      <c r="F83" s="77" t="s">
        <v>1390</v>
      </c>
      <c r="G83" s="77"/>
      <c r="H83" s="77"/>
      <c r="I83" s="77"/>
      <c r="J83" s="77"/>
      <c r="K83" s="82"/>
      <c r="L83" s="82"/>
      <c r="M83" s="82"/>
      <c r="N83" s="123">
        <v>30000</v>
      </c>
      <c r="O83" s="123">
        <v>30000</v>
      </c>
      <c r="P83" s="123">
        <v>30000</v>
      </c>
      <c r="Q83" s="83">
        <v>40000</v>
      </c>
      <c r="R83" s="83">
        <v>50000</v>
      </c>
      <c r="S83" s="83">
        <v>60000</v>
      </c>
    </row>
    <row r="84" spans="1:19" x14ac:dyDescent="0.25">
      <c r="A84" s="76" t="s">
        <v>1923</v>
      </c>
      <c r="B84" s="76" t="s">
        <v>1830</v>
      </c>
      <c r="C84" s="76" t="s">
        <v>1926</v>
      </c>
      <c r="D84" s="77"/>
      <c r="E84" s="77"/>
      <c r="F84" s="77" t="s">
        <v>1831</v>
      </c>
      <c r="G84" s="77"/>
      <c r="H84" s="77"/>
      <c r="I84" s="77"/>
      <c r="J84" s="77"/>
      <c r="K84" s="82"/>
      <c r="L84" s="82"/>
      <c r="M84" s="82"/>
      <c r="N84" s="123">
        <v>16000</v>
      </c>
      <c r="O84" s="123">
        <v>16000</v>
      </c>
      <c r="P84" s="123">
        <v>16000</v>
      </c>
      <c r="Q84" s="83">
        <v>17000</v>
      </c>
      <c r="R84" s="83">
        <v>18000</v>
      </c>
      <c r="S84" s="83">
        <v>19000</v>
      </c>
    </row>
    <row r="85" spans="1:19" hidden="1" x14ac:dyDescent="0.25">
      <c r="A85" s="76" t="s">
        <v>1923</v>
      </c>
      <c r="B85" s="76" t="s">
        <v>1830</v>
      </c>
      <c r="C85" s="76" t="s">
        <v>1927</v>
      </c>
      <c r="D85" s="77"/>
      <c r="E85" s="77"/>
      <c r="F85" s="77" t="s">
        <v>1393</v>
      </c>
      <c r="G85" s="77"/>
      <c r="H85" s="77"/>
      <c r="I85" s="77"/>
      <c r="J85" s="77"/>
      <c r="K85" s="82"/>
      <c r="L85" s="82"/>
      <c r="M85" s="82"/>
      <c r="N85" s="123"/>
      <c r="O85" s="123"/>
      <c r="P85" s="123"/>
      <c r="Q85" s="83"/>
      <c r="R85" s="83"/>
      <c r="S85" s="83"/>
    </row>
    <row r="86" spans="1:19" x14ac:dyDescent="0.25">
      <c r="A86" s="76" t="s">
        <v>1923</v>
      </c>
      <c r="B86" s="76" t="s">
        <v>1830</v>
      </c>
      <c r="C86" s="76" t="s">
        <v>1928</v>
      </c>
      <c r="D86" s="77"/>
      <c r="E86" s="77"/>
      <c r="F86" s="77" t="s">
        <v>13</v>
      </c>
      <c r="G86" s="77"/>
      <c r="H86" s="77"/>
      <c r="I86" s="77"/>
      <c r="J86" s="77"/>
      <c r="K86" s="82"/>
      <c r="L86" s="82"/>
      <c r="M86" s="82"/>
      <c r="N86" s="123">
        <v>80000</v>
      </c>
      <c r="O86" s="123">
        <v>80000</v>
      </c>
      <c r="P86" s="123">
        <v>80000</v>
      </c>
      <c r="Q86" s="83">
        <v>90000</v>
      </c>
      <c r="R86" s="83">
        <v>100000</v>
      </c>
      <c r="S86" s="83">
        <v>110000</v>
      </c>
    </row>
    <row r="87" spans="1:19" x14ac:dyDescent="0.25">
      <c r="A87" s="76" t="s">
        <v>1923</v>
      </c>
      <c r="B87" s="76" t="s">
        <v>1830</v>
      </c>
      <c r="C87" s="76" t="s">
        <v>1929</v>
      </c>
      <c r="D87" s="77"/>
      <c r="E87" s="77"/>
      <c r="F87" s="77" t="s">
        <v>1930</v>
      </c>
      <c r="G87" s="77"/>
      <c r="H87" s="77"/>
      <c r="I87" s="77"/>
      <c r="J87" s="77"/>
      <c r="K87" s="82"/>
      <c r="L87" s="82"/>
      <c r="M87" s="82"/>
      <c r="N87" s="123">
        <v>40000</v>
      </c>
      <c r="O87" s="123">
        <v>40000</v>
      </c>
      <c r="P87" s="123">
        <v>40000</v>
      </c>
      <c r="Q87" s="83">
        <v>50000</v>
      </c>
      <c r="R87" s="83">
        <v>60000</v>
      </c>
      <c r="S87" s="83">
        <v>70000</v>
      </c>
    </row>
    <row r="89" spans="1:19" hidden="1" x14ac:dyDescent="0.25">
      <c r="A89" s="76" t="s">
        <v>1498</v>
      </c>
      <c r="B89" s="76" t="s">
        <v>1499</v>
      </c>
      <c r="C89" s="77" t="s">
        <v>1500</v>
      </c>
      <c r="D89" s="77" t="s">
        <v>1501</v>
      </c>
      <c r="E89" s="77" t="s">
        <v>12</v>
      </c>
      <c r="F89" s="77" t="s">
        <v>13</v>
      </c>
      <c r="G89" s="77" t="s">
        <v>14</v>
      </c>
      <c r="H89" s="77" t="s">
        <v>15</v>
      </c>
      <c r="I89" s="77" t="s">
        <v>16</v>
      </c>
      <c r="J89" s="77" t="s">
        <v>179</v>
      </c>
      <c r="K89" s="82" t="s">
        <v>18</v>
      </c>
      <c r="L89" s="82">
        <v>3</v>
      </c>
      <c r="M89" s="82"/>
      <c r="N89" s="83">
        <v>0</v>
      </c>
      <c r="O89" s="83">
        <v>0</v>
      </c>
      <c r="P89" s="83">
        <v>0</v>
      </c>
    </row>
    <row r="90" spans="1:19" hidden="1" x14ac:dyDescent="0.25">
      <c r="A90" s="76" t="s">
        <v>1498</v>
      </c>
      <c r="B90" s="76" t="s">
        <v>1499</v>
      </c>
      <c r="C90" s="77" t="s">
        <v>1502</v>
      </c>
      <c r="D90" s="77" t="s">
        <v>1503</v>
      </c>
      <c r="E90" s="77" t="s">
        <v>12</v>
      </c>
      <c r="F90" s="77" t="s">
        <v>1694</v>
      </c>
      <c r="G90" s="77" t="s">
        <v>455</v>
      </c>
      <c r="H90" s="77" t="s">
        <v>37</v>
      </c>
      <c r="I90" s="77" t="s">
        <v>16</v>
      </c>
      <c r="J90" s="77" t="s">
        <v>181</v>
      </c>
      <c r="K90" s="82" t="s">
        <v>38</v>
      </c>
      <c r="L90" s="82">
        <v>1</v>
      </c>
      <c r="M90" s="82"/>
      <c r="N90" s="83">
        <v>0</v>
      </c>
      <c r="O90" s="83">
        <v>0</v>
      </c>
      <c r="P90" s="83">
        <v>0</v>
      </c>
    </row>
    <row r="91" spans="1:19" hidden="1" x14ac:dyDescent="0.25">
      <c r="A91" s="76" t="s">
        <v>1498</v>
      </c>
      <c r="B91" s="76" t="s">
        <v>1499</v>
      </c>
      <c r="C91" s="77" t="s">
        <v>1504</v>
      </c>
      <c r="D91" s="77" t="s">
        <v>1501</v>
      </c>
      <c r="E91" s="77" t="s">
        <v>12</v>
      </c>
      <c r="F91" s="77" t="s">
        <v>895</v>
      </c>
      <c r="G91" s="77" t="s">
        <v>14</v>
      </c>
      <c r="H91" s="77" t="s">
        <v>15</v>
      </c>
      <c r="I91" s="77" t="s">
        <v>16</v>
      </c>
      <c r="J91" s="77" t="s">
        <v>179</v>
      </c>
      <c r="K91" s="82" t="s">
        <v>18</v>
      </c>
      <c r="L91" s="82">
        <v>3</v>
      </c>
      <c r="M91" s="82"/>
      <c r="N91" s="83">
        <v>0</v>
      </c>
      <c r="O91" s="83">
        <v>0</v>
      </c>
      <c r="P91" s="83">
        <v>0</v>
      </c>
    </row>
    <row r="92" spans="1:19" hidden="1" x14ac:dyDescent="0.25">
      <c r="A92" s="76" t="s">
        <v>1498</v>
      </c>
      <c r="B92" s="76" t="s">
        <v>1499</v>
      </c>
      <c r="C92" s="77" t="s">
        <v>1505</v>
      </c>
      <c r="D92" s="77" t="s">
        <v>1501</v>
      </c>
      <c r="E92" s="77" t="s">
        <v>12</v>
      </c>
      <c r="F92" s="77" t="s">
        <v>435</v>
      </c>
      <c r="G92" s="77" t="s">
        <v>14</v>
      </c>
      <c r="H92" s="77" t="s">
        <v>15</v>
      </c>
      <c r="I92" s="77" t="s">
        <v>16</v>
      </c>
      <c r="J92" s="77" t="s">
        <v>179</v>
      </c>
      <c r="K92" s="82" t="s">
        <v>18</v>
      </c>
      <c r="L92" s="82">
        <v>3</v>
      </c>
      <c r="M92" s="82"/>
      <c r="N92" s="83">
        <v>0</v>
      </c>
      <c r="O92" s="83">
        <v>0</v>
      </c>
      <c r="P92" s="83">
        <v>0</v>
      </c>
    </row>
    <row r="93" spans="1:19" hidden="1" x14ac:dyDescent="0.25">
      <c r="A93" s="76" t="s">
        <v>1498</v>
      </c>
      <c r="B93" s="76" t="s">
        <v>1499</v>
      </c>
      <c r="C93" s="77" t="s">
        <v>1506</v>
      </c>
      <c r="D93" s="77" t="s">
        <v>1501</v>
      </c>
      <c r="E93" s="77" t="s">
        <v>12</v>
      </c>
      <c r="F93" s="77" t="s">
        <v>1393</v>
      </c>
      <c r="G93" s="77" t="s">
        <v>14</v>
      </c>
      <c r="H93" s="77" t="s">
        <v>15</v>
      </c>
      <c r="I93" s="77" t="s">
        <v>16</v>
      </c>
      <c r="J93" s="77" t="s">
        <v>179</v>
      </c>
      <c r="K93" s="82" t="s">
        <v>18</v>
      </c>
      <c r="L93" s="82">
        <v>3</v>
      </c>
      <c r="M93" s="82"/>
      <c r="N93" s="83">
        <v>0</v>
      </c>
      <c r="O93" s="83">
        <v>0</v>
      </c>
      <c r="P93" s="83">
        <v>0</v>
      </c>
    </row>
    <row r="95" spans="1:19" hidden="1" x14ac:dyDescent="0.25">
      <c r="A95" s="76" t="s">
        <v>1507</v>
      </c>
      <c r="B95" s="76" t="s">
        <v>1508</v>
      </c>
      <c r="C95" s="77" t="s">
        <v>1509</v>
      </c>
      <c r="D95" s="77" t="s">
        <v>1510</v>
      </c>
      <c r="E95" s="77" t="s">
        <v>12</v>
      </c>
      <c r="F95" s="77" t="s">
        <v>435</v>
      </c>
      <c r="G95" s="77" t="s">
        <v>178</v>
      </c>
      <c r="H95" s="77" t="s">
        <v>37</v>
      </c>
      <c r="I95" s="77" t="s">
        <v>16</v>
      </c>
      <c r="J95" s="77" t="s">
        <v>181</v>
      </c>
      <c r="K95" s="82" t="s">
        <v>38</v>
      </c>
      <c r="L95" s="82">
        <v>1</v>
      </c>
      <c r="M95" s="82"/>
      <c r="N95" s="79">
        <v>0</v>
      </c>
      <c r="O95" s="79">
        <v>0</v>
      </c>
      <c r="P95" s="79">
        <v>0</v>
      </c>
    </row>
    <row r="96" spans="1:19" x14ac:dyDescent="0.25">
      <c r="A96" s="76" t="s">
        <v>1507</v>
      </c>
      <c r="B96" s="76" t="s">
        <v>1508</v>
      </c>
      <c r="C96" s="77" t="s">
        <v>1511</v>
      </c>
      <c r="D96" s="77" t="s">
        <v>1512</v>
      </c>
      <c r="E96" s="77" t="s">
        <v>12</v>
      </c>
      <c r="F96" s="77" t="s">
        <v>413</v>
      </c>
      <c r="G96" s="77" t="s">
        <v>178</v>
      </c>
      <c r="H96" s="77" t="s">
        <v>15</v>
      </c>
      <c r="I96" s="77" t="s">
        <v>16</v>
      </c>
      <c r="J96" s="77" t="s">
        <v>179</v>
      </c>
      <c r="K96" s="82" t="s">
        <v>18</v>
      </c>
      <c r="L96" s="82">
        <v>3</v>
      </c>
      <c r="M96" s="82"/>
      <c r="N96" s="74">
        <v>130000</v>
      </c>
      <c r="O96" s="74">
        <v>50000</v>
      </c>
      <c r="P96" s="74">
        <v>50000</v>
      </c>
      <c r="Q96" s="83">
        <v>130000</v>
      </c>
      <c r="R96" s="83">
        <v>130000</v>
      </c>
      <c r="S96" s="83">
        <v>130000</v>
      </c>
    </row>
    <row r="97" spans="1:19" x14ac:dyDescent="0.25">
      <c r="N97" s="75"/>
      <c r="O97" s="75"/>
      <c r="P97" s="75"/>
    </row>
    <row r="98" spans="1:19" x14ac:dyDescent="0.25">
      <c r="A98" s="76" t="s">
        <v>1513</v>
      </c>
      <c r="B98" s="76" t="s">
        <v>1514</v>
      </c>
      <c r="C98" s="77" t="s">
        <v>1515</v>
      </c>
      <c r="D98" s="77" t="s">
        <v>718</v>
      </c>
      <c r="E98" s="77" t="s">
        <v>12</v>
      </c>
      <c r="F98" s="77" t="s">
        <v>1390</v>
      </c>
      <c r="G98" s="77" t="s">
        <v>719</v>
      </c>
      <c r="H98" s="77" t="s">
        <v>295</v>
      </c>
      <c r="I98" s="77" t="s">
        <v>16</v>
      </c>
      <c r="J98" s="77" t="s">
        <v>720</v>
      </c>
      <c r="K98" s="82" t="s">
        <v>38</v>
      </c>
      <c r="L98" s="82">
        <v>3</v>
      </c>
      <c r="M98" s="82"/>
      <c r="N98" s="74">
        <v>20000</v>
      </c>
      <c r="O98" s="74">
        <f>20000+20000</f>
        <v>40000</v>
      </c>
      <c r="P98" s="74">
        <v>40000</v>
      </c>
      <c r="Q98" s="83">
        <v>20000</v>
      </c>
      <c r="R98" s="83">
        <v>20000</v>
      </c>
      <c r="S98" s="83">
        <v>20000</v>
      </c>
    </row>
    <row r="99" spans="1:19" x14ac:dyDescent="0.25">
      <c r="A99" s="76" t="s">
        <v>1513</v>
      </c>
      <c r="B99" s="76" t="s">
        <v>1514</v>
      </c>
      <c r="C99" s="77" t="s">
        <v>1516</v>
      </c>
      <c r="D99" s="77" t="s">
        <v>718</v>
      </c>
      <c r="E99" s="77" t="s">
        <v>12</v>
      </c>
      <c r="F99" s="77" t="s">
        <v>435</v>
      </c>
      <c r="G99" s="77" t="s">
        <v>719</v>
      </c>
      <c r="H99" s="77" t="s">
        <v>295</v>
      </c>
      <c r="I99" s="77" t="s">
        <v>16</v>
      </c>
      <c r="J99" s="77" t="s">
        <v>720</v>
      </c>
      <c r="K99" s="82" t="s">
        <v>38</v>
      </c>
      <c r="L99" s="82">
        <v>3</v>
      </c>
      <c r="M99" s="82"/>
      <c r="N99" s="74">
        <v>20000</v>
      </c>
      <c r="O99" s="74">
        <f>20000+20000</f>
        <v>40000</v>
      </c>
      <c r="P99" s="74">
        <v>40000</v>
      </c>
      <c r="Q99" s="83">
        <v>20000</v>
      </c>
      <c r="R99" s="83">
        <v>20000</v>
      </c>
      <c r="S99" s="83">
        <v>20000</v>
      </c>
    </row>
    <row r="100" spans="1:19" x14ac:dyDescent="0.25">
      <c r="A100" s="76" t="s">
        <v>1513</v>
      </c>
      <c r="B100" s="76" t="s">
        <v>1514</v>
      </c>
      <c r="C100" s="77" t="s">
        <v>2076</v>
      </c>
      <c r="D100" s="77" t="s">
        <v>1517</v>
      </c>
      <c r="E100" s="77" t="s">
        <v>12</v>
      </c>
      <c r="F100" s="77" t="s">
        <v>1517</v>
      </c>
      <c r="G100" s="77" t="s">
        <v>87</v>
      </c>
      <c r="H100" s="77" t="s">
        <v>295</v>
      </c>
      <c r="I100" s="77" t="s">
        <v>16</v>
      </c>
      <c r="J100" s="77" t="s">
        <v>720</v>
      </c>
      <c r="K100" s="82" t="s">
        <v>38</v>
      </c>
      <c r="L100" s="82">
        <v>1</v>
      </c>
      <c r="M100" s="82"/>
      <c r="N100" s="74">
        <v>1000000</v>
      </c>
      <c r="O100" s="74">
        <v>600000</v>
      </c>
      <c r="P100" s="74">
        <v>600000</v>
      </c>
      <c r="Q100" s="83">
        <v>800000</v>
      </c>
      <c r="R100" s="83">
        <v>900000</v>
      </c>
      <c r="S100" s="83">
        <v>1000000</v>
      </c>
    </row>
    <row r="102" spans="1:19" hidden="1" x14ac:dyDescent="0.25">
      <c r="A102" s="76" t="s">
        <v>1518</v>
      </c>
      <c r="B102" s="76" t="s">
        <v>1519</v>
      </c>
      <c r="C102" s="77" t="s">
        <v>1520</v>
      </c>
      <c r="D102" s="77" t="s">
        <v>1521</v>
      </c>
      <c r="E102" s="77" t="s">
        <v>12</v>
      </c>
      <c r="F102" s="77" t="s">
        <v>13</v>
      </c>
      <c r="G102" s="77" t="s">
        <v>1522</v>
      </c>
      <c r="H102" s="77" t="s">
        <v>15</v>
      </c>
      <c r="I102" s="77" t="s">
        <v>16</v>
      </c>
      <c r="J102" s="77" t="s">
        <v>720</v>
      </c>
      <c r="K102" s="82" t="s">
        <v>18</v>
      </c>
      <c r="L102" s="82">
        <v>3</v>
      </c>
      <c r="M102" s="82"/>
    </row>
    <row r="103" spans="1:19" hidden="1" x14ac:dyDescent="0.25">
      <c r="A103" s="76" t="s">
        <v>1518</v>
      </c>
      <c r="B103" s="76" t="s">
        <v>1519</v>
      </c>
      <c r="C103" s="77" t="s">
        <v>1523</v>
      </c>
      <c r="D103" s="77" t="s">
        <v>1521</v>
      </c>
      <c r="E103" s="77" t="s">
        <v>12</v>
      </c>
      <c r="F103" s="77" t="s">
        <v>20</v>
      </c>
      <c r="G103" s="77" t="s">
        <v>1522</v>
      </c>
      <c r="H103" s="77" t="s">
        <v>15</v>
      </c>
      <c r="I103" s="77" t="s">
        <v>16</v>
      </c>
      <c r="J103" s="77" t="s">
        <v>720</v>
      </c>
      <c r="K103" s="82" t="s">
        <v>18</v>
      </c>
      <c r="L103" s="82">
        <v>3</v>
      </c>
      <c r="M103" s="82"/>
    </row>
    <row r="104" spans="1:19" hidden="1" x14ac:dyDescent="0.25">
      <c r="A104" s="76" t="s">
        <v>1518</v>
      </c>
      <c r="B104" s="76" t="s">
        <v>1519</v>
      </c>
      <c r="C104" s="77" t="s">
        <v>1524</v>
      </c>
      <c r="D104" s="77" t="s">
        <v>1521</v>
      </c>
      <c r="E104" s="77" t="s">
        <v>12</v>
      </c>
      <c r="F104" s="77" t="s">
        <v>24</v>
      </c>
      <c r="G104" s="77" t="s">
        <v>1522</v>
      </c>
      <c r="H104" s="77" t="s">
        <v>15</v>
      </c>
      <c r="I104" s="77" t="s">
        <v>16</v>
      </c>
      <c r="J104" s="77" t="s">
        <v>720</v>
      </c>
      <c r="K104" s="82" t="s">
        <v>18</v>
      </c>
      <c r="L104" s="82">
        <v>3</v>
      </c>
      <c r="M104" s="82"/>
    </row>
    <row r="105" spans="1:19" hidden="1" x14ac:dyDescent="0.25">
      <c r="A105" s="76" t="s">
        <v>1518</v>
      </c>
      <c r="B105" s="76" t="s">
        <v>1519</v>
      </c>
      <c r="C105" s="77" t="s">
        <v>1525</v>
      </c>
      <c r="D105" s="77" t="s">
        <v>1521</v>
      </c>
      <c r="E105" s="77" t="s">
        <v>12</v>
      </c>
      <c r="F105" s="77" t="s">
        <v>26</v>
      </c>
      <c r="G105" s="77" t="s">
        <v>1522</v>
      </c>
      <c r="H105" s="77" t="s">
        <v>15</v>
      </c>
      <c r="I105" s="77" t="s">
        <v>16</v>
      </c>
      <c r="J105" s="77" t="s">
        <v>720</v>
      </c>
      <c r="K105" s="82" t="s">
        <v>18</v>
      </c>
      <c r="L105" s="82">
        <v>3</v>
      </c>
      <c r="M105" s="82"/>
    </row>
    <row r="106" spans="1:19" hidden="1" x14ac:dyDescent="0.25">
      <c r="A106" s="76" t="s">
        <v>1518</v>
      </c>
      <c r="B106" s="76" t="s">
        <v>1519</v>
      </c>
      <c r="C106" s="77" t="s">
        <v>1526</v>
      </c>
      <c r="D106" s="77" t="s">
        <v>1521</v>
      </c>
      <c r="E106" s="77" t="s">
        <v>12</v>
      </c>
      <c r="F106" s="77" t="s">
        <v>28</v>
      </c>
      <c r="G106" s="77" t="s">
        <v>1522</v>
      </c>
      <c r="H106" s="77" t="s">
        <v>15</v>
      </c>
      <c r="I106" s="77" t="s">
        <v>16</v>
      </c>
      <c r="J106" s="77" t="s">
        <v>720</v>
      </c>
      <c r="K106" s="82" t="s">
        <v>18</v>
      </c>
      <c r="L106" s="82">
        <v>3</v>
      </c>
      <c r="M106" s="82"/>
    </row>
    <row r="107" spans="1:19" hidden="1" x14ac:dyDescent="0.25">
      <c r="A107" s="76" t="s">
        <v>1518</v>
      </c>
      <c r="B107" s="76" t="s">
        <v>1519</v>
      </c>
      <c r="C107" s="77" t="s">
        <v>1527</v>
      </c>
      <c r="D107" s="77" t="s">
        <v>1521</v>
      </c>
      <c r="E107" s="77" t="s">
        <v>12</v>
      </c>
      <c r="F107" s="77" t="s">
        <v>1390</v>
      </c>
      <c r="G107" s="77" t="s">
        <v>87</v>
      </c>
      <c r="H107" s="77" t="s">
        <v>37</v>
      </c>
      <c r="I107" s="77" t="s">
        <v>16</v>
      </c>
      <c r="J107" s="77" t="s">
        <v>720</v>
      </c>
      <c r="K107" s="82" t="s">
        <v>38</v>
      </c>
      <c r="L107" s="82">
        <v>1</v>
      </c>
      <c r="M107" s="82"/>
    </row>
    <row r="108" spans="1:19" hidden="1" x14ac:dyDescent="0.25">
      <c r="A108" s="76" t="s">
        <v>1518</v>
      </c>
      <c r="B108" s="76" t="s">
        <v>1519</v>
      </c>
      <c r="C108" s="77" t="s">
        <v>1528</v>
      </c>
      <c r="D108" s="77" t="s">
        <v>1521</v>
      </c>
      <c r="E108" s="77" t="s">
        <v>12</v>
      </c>
      <c r="F108" s="77" t="s">
        <v>895</v>
      </c>
      <c r="G108" s="77" t="s">
        <v>1522</v>
      </c>
      <c r="H108" s="77" t="s">
        <v>15</v>
      </c>
      <c r="I108" s="77" t="s">
        <v>16</v>
      </c>
      <c r="J108" s="77" t="s">
        <v>720</v>
      </c>
      <c r="K108" s="82" t="s">
        <v>18</v>
      </c>
      <c r="L108" s="82">
        <v>3</v>
      </c>
      <c r="M108" s="82"/>
    </row>
    <row r="109" spans="1:19" hidden="1" x14ac:dyDescent="0.25">
      <c r="A109" s="76" t="s">
        <v>1518</v>
      </c>
      <c r="B109" s="76" t="s">
        <v>1519</v>
      </c>
      <c r="C109" s="77" t="s">
        <v>1529</v>
      </c>
      <c r="D109" s="77" t="s">
        <v>1521</v>
      </c>
      <c r="E109" s="77" t="s">
        <v>12</v>
      </c>
      <c r="F109" s="77" t="s">
        <v>32</v>
      </c>
      <c r="G109" s="77" t="s">
        <v>1522</v>
      </c>
      <c r="H109" s="77" t="s">
        <v>15</v>
      </c>
      <c r="I109" s="77" t="s">
        <v>16</v>
      </c>
      <c r="J109" s="77" t="s">
        <v>720</v>
      </c>
      <c r="K109" s="82" t="s">
        <v>18</v>
      </c>
      <c r="L109" s="82">
        <v>3</v>
      </c>
      <c r="M109" s="82"/>
    </row>
    <row r="111" spans="1:19" x14ac:dyDescent="0.25">
      <c r="A111" s="76" t="s">
        <v>1530</v>
      </c>
      <c r="B111" s="76" t="s">
        <v>1531</v>
      </c>
      <c r="C111" s="77" t="s">
        <v>1532</v>
      </c>
      <c r="D111" s="77" t="s">
        <v>1533</v>
      </c>
      <c r="E111" s="77" t="s">
        <v>12</v>
      </c>
      <c r="F111" s="77" t="s">
        <v>1850</v>
      </c>
      <c r="G111" s="77" t="s">
        <v>1522</v>
      </c>
      <c r="H111" s="77" t="s">
        <v>292</v>
      </c>
      <c r="I111" s="77" t="s">
        <v>16</v>
      </c>
      <c r="J111" s="77" t="s">
        <v>179</v>
      </c>
      <c r="K111" s="82" t="s">
        <v>18</v>
      </c>
      <c r="L111" s="82">
        <v>3</v>
      </c>
      <c r="M111" s="82"/>
      <c r="N111" s="74">
        <v>80000</v>
      </c>
      <c r="O111" s="74">
        <v>0</v>
      </c>
      <c r="P111" s="74">
        <v>0</v>
      </c>
      <c r="Q111" s="83">
        <v>80000</v>
      </c>
      <c r="R111" s="83">
        <v>80000</v>
      </c>
      <c r="S111" s="83">
        <v>80000</v>
      </c>
    </row>
    <row r="112" spans="1:19" x14ac:dyDescent="0.25">
      <c r="A112" s="76" t="s">
        <v>1530</v>
      </c>
      <c r="B112" s="76" t="s">
        <v>1531</v>
      </c>
      <c r="C112" s="77" t="s">
        <v>1535</v>
      </c>
      <c r="D112" s="77" t="s">
        <v>1533</v>
      </c>
      <c r="E112" s="77" t="s">
        <v>12</v>
      </c>
      <c r="F112" s="77" t="s">
        <v>435</v>
      </c>
      <c r="G112" s="77" t="s">
        <v>1522</v>
      </c>
      <c r="H112" s="77" t="s">
        <v>292</v>
      </c>
      <c r="I112" s="77" t="s">
        <v>16</v>
      </c>
      <c r="J112" s="77" t="s">
        <v>179</v>
      </c>
      <c r="K112" s="82" t="s">
        <v>18</v>
      </c>
      <c r="L112" s="82">
        <v>3</v>
      </c>
      <c r="M112" s="82"/>
      <c r="N112" s="74">
        <v>10000</v>
      </c>
      <c r="O112" s="74">
        <v>0</v>
      </c>
      <c r="P112" s="74">
        <v>0</v>
      </c>
      <c r="Q112" s="83">
        <v>10000</v>
      </c>
      <c r="R112" s="83">
        <v>10000</v>
      </c>
      <c r="S112" s="83">
        <v>10000</v>
      </c>
    </row>
    <row r="113" spans="1:19" x14ac:dyDescent="0.25">
      <c r="A113" s="76"/>
      <c r="B113" s="76"/>
      <c r="C113" s="77"/>
      <c r="D113" s="77"/>
      <c r="E113" s="77"/>
      <c r="F113" s="77"/>
      <c r="G113" s="77"/>
      <c r="H113" s="77"/>
      <c r="I113" s="77"/>
      <c r="J113" s="77"/>
      <c r="K113" s="82"/>
      <c r="L113" s="82"/>
      <c r="M113" s="82"/>
      <c r="N113" s="75"/>
      <c r="O113" s="75"/>
      <c r="P113" s="75"/>
      <c r="Q113" s="83"/>
      <c r="R113" s="83"/>
      <c r="S113" s="83"/>
    </row>
    <row r="114" spans="1:19" x14ac:dyDescent="0.25">
      <c r="A114" s="76" t="s">
        <v>1530</v>
      </c>
      <c r="B114" s="76" t="s">
        <v>1531</v>
      </c>
      <c r="C114" s="77" t="s">
        <v>1532</v>
      </c>
      <c r="D114" s="77" t="s">
        <v>1533</v>
      </c>
      <c r="E114" s="77" t="s">
        <v>12</v>
      </c>
      <c r="F114" s="77" t="s">
        <v>1851</v>
      </c>
      <c r="G114" s="77"/>
      <c r="H114" s="77"/>
      <c r="I114" s="77"/>
      <c r="J114" s="77"/>
      <c r="K114" s="82"/>
      <c r="L114" s="82"/>
      <c r="M114" s="82"/>
      <c r="N114" s="74">
        <v>75000</v>
      </c>
      <c r="O114" s="74">
        <v>0</v>
      </c>
      <c r="P114" s="74">
        <v>0</v>
      </c>
      <c r="Q114" s="83">
        <v>75000</v>
      </c>
      <c r="R114" s="83">
        <v>75000</v>
      </c>
      <c r="S114" s="83">
        <v>75000</v>
      </c>
    </row>
    <row r="115" spans="1:19" x14ac:dyDescent="0.25">
      <c r="A115" s="76"/>
      <c r="B115" s="76"/>
      <c r="C115" s="77"/>
      <c r="D115" s="77"/>
      <c r="E115" s="77"/>
      <c r="F115" s="77"/>
      <c r="G115" s="77"/>
      <c r="H115" s="77"/>
      <c r="I115" s="77"/>
      <c r="J115" s="77"/>
      <c r="K115" s="82"/>
      <c r="L115" s="82"/>
      <c r="M115" s="82"/>
      <c r="Q115" s="83"/>
      <c r="R115" s="83"/>
      <c r="S115" s="83"/>
    </row>
    <row r="116" spans="1:19" x14ac:dyDescent="0.25">
      <c r="A116" s="76" t="s">
        <v>1530</v>
      </c>
      <c r="B116" s="76" t="s">
        <v>1531</v>
      </c>
      <c r="C116" s="77" t="s">
        <v>1532</v>
      </c>
      <c r="D116" s="77" t="s">
        <v>1533</v>
      </c>
      <c r="E116" s="77" t="s">
        <v>12</v>
      </c>
      <c r="F116" s="77" t="s">
        <v>1852</v>
      </c>
      <c r="G116" s="77"/>
      <c r="H116" s="77"/>
      <c r="I116" s="77"/>
      <c r="J116" s="77"/>
      <c r="K116" s="82"/>
      <c r="L116" s="82"/>
      <c r="M116" s="82"/>
      <c r="N116" s="74">
        <v>65000</v>
      </c>
      <c r="O116" s="74">
        <v>0</v>
      </c>
      <c r="P116" s="74">
        <v>0</v>
      </c>
      <c r="Q116" s="83">
        <v>65000</v>
      </c>
      <c r="R116" s="83">
        <v>65000</v>
      </c>
      <c r="S116" s="83">
        <v>65000</v>
      </c>
    </row>
    <row r="117" spans="1:19" x14ac:dyDescent="0.25">
      <c r="A117" s="76" t="s">
        <v>1530</v>
      </c>
      <c r="B117" s="76" t="s">
        <v>1531</v>
      </c>
      <c r="C117" s="77" t="s">
        <v>1535</v>
      </c>
      <c r="D117" s="77" t="s">
        <v>1533</v>
      </c>
      <c r="E117" s="77" t="s">
        <v>12</v>
      </c>
      <c r="F117" s="77" t="s">
        <v>435</v>
      </c>
      <c r="G117" s="77"/>
      <c r="H117" s="77"/>
      <c r="I117" s="77"/>
      <c r="J117" s="77"/>
      <c r="K117" s="82"/>
      <c r="L117" s="82"/>
      <c r="M117" s="82"/>
      <c r="N117" s="74">
        <v>15000</v>
      </c>
      <c r="O117" s="74">
        <v>0</v>
      </c>
      <c r="P117" s="74">
        <v>0</v>
      </c>
      <c r="Q117" s="83">
        <v>15000</v>
      </c>
      <c r="R117" s="83">
        <v>15000</v>
      </c>
      <c r="S117" s="83">
        <v>15000</v>
      </c>
    </row>
    <row r="118" spans="1:19" x14ac:dyDescent="0.25">
      <c r="A118" s="76"/>
      <c r="B118" s="76"/>
      <c r="C118" s="77"/>
      <c r="D118" s="77"/>
      <c r="E118" s="77"/>
      <c r="F118" s="77"/>
      <c r="G118" s="77"/>
      <c r="H118" s="77"/>
      <c r="I118" s="77"/>
      <c r="J118" s="77"/>
      <c r="K118" s="82"/>
      <c r="L118" s="82"/>
      <c r="M118" s="82"/>
    </row>
    <row r="119" spans="1:19" x14ac:dyDescent="0.25">
      <c r="A119" s="76" t="s">
        <v>1536</v>
      </c>
      <c r="B119" s="76" t="s">
        <v>1537</v>
      </c>
      <c r="C119" t="s">
        <v>1538</v>
      </c>
      <c r="D119" s="77" t="s">
        <v>1539</v>
      </c>
      <c r="E119" s="77" t="s">
        <v>12</v>
      </c>
      <c r="F119" s="77" t="s">
        <v>13</v>
      </c>
      <c r="G119" s="77" t="s">
        <v>69</v>
      </c>
      <c r="H119" s="77" t="s">
        <v>15</v>
      </c>
      <c r="I119" s="77" t="s">
        <v>16</v>
      </c>
      <c r="J119" s="77" t="s">
        <v>732</v>
      </c>
      <c r="K119" s="82" t="s">
        <v>18</v>
      </c>
      <c r="L119" s="82">
        <v>3</v>
      </c>
      <c r="M119" s="82"/>
      <c r="N119" s="74">
        <v>550000</v>
      </c>
      <c r="O119" s="74">
        <v>150000</v>
      </c>
      <c r="P119" s="74">
        <v>150000</v>
      </c>
      <c r="Q119" s="83">
        <v>50000</v>
      </c>
      <c r="R119" s="83">
        <v>600000</v>
      </c>
      <c r="S119" s="83">
        <v>610000</v>
      </c>
    </row>
    <row r="120" spans="1:19" x14ac:dyDescent="0.25">
      <c r="A120" s="76" t="s">
        <v>1536</v>
      </c>
      <c r="B120" s="76" t="s">
        <v>1537</v>
      </c>
      <c r="C120" s="77" t="s">
        <v>1540</v>
      </c>
      <c r="D120" s="77" t="s">
        <v>1539</v>
      </c>
      <c r="E120" s="77" t="s">
        <v>12</v>
      </c>
      <c r="F120" s="77" t="s">
        <v>413</v>
      </c>
      <c r="G120" s="77" t="s">
        <v>69</v>
      </c>
      <c r="H120" s="77" t="s">
        <v>15</v>
      </c>
      <c r="I120" s="77" t="s">
        <v>16</v>
      </c>
      <c r="J120" s="77" t="s">
        <v>732</v>
      </c>
      <c r="K120" s="82" t="s">
        <v>18</v>
      </c>
      <c r="L120" s="82">
        <v>3</v>
      </c>
      <c r="M120" s="82"/>
      <c r="N120" s="74">
        <v>50000</v>
      </c>
      <c r="O120" s="74">
        <v>30000</v>
      </c>
      <c r="P120" s="74">
        <v>30000</v>
      </c>
      <c r="Q120" s="83">
        <v>30000</v>
      </c>
      <c r="R120" s="83">
        <v>32000</v>
      </c>
      <c r="S120" s="83">
        <v>40000</v>
      </c>
    </row>
    <row r="121" spans="1:19" hidden="1" x14ac:dyDescent="0.25">
      <c r="A121" s="76" t="s">
        <v>1536</v>
      </c>
      <c r="B121" s="76" t="s">
        <v>1537</v>
      </c>
      <c r="C121" s="77" t="s">
        <v>1541</v>
      </c>
      <c r="D121" s="77" t="s">
        <v>1539</v>
      </c>
      <c r="E121" s="77" t="s">
        <v>12</v>
      </c>
      <c r="F121" s="77" t="s">
        <v>435</v>
      </c>
      <c r="G121" s="77" t="s">
        <v>69</v>
      </c>
      <c r="H121" s="77" t="s">
        <v>15</v>
      </c>
      <c r="I121" s="77" t="s">
        <v>16</v>
      </c>
      <c r="J121" s="77" t="s">
        <v>732</v>
      </c>
      <c r="K121" s="82" t="s">
        <v>18</v>
      </c>
      <c r="L121" s="82">
        <v>3</v>
      </c>
      <c r="M121" s="82"/>
    </row>
    <row r="122" spans="1:19" hidden="1" x14ac:dyDescent="0.25">
      <c r="A122" s="76" t="s">
        <v>1536</v>
      </c>
      <c r="B122" s="76" t="s">
        <v>1537</v>
      </c>
      <c r="C122" s="77" t="s">
        <v>1542</v>
      </c>
      <c r="D122" s="77" t="s">
        <v>1543</v>
      </c>
      <c r="E122" s="77" t="s">
        <v>12</v>
      </c>
      <c r="F122" s="77" t="s">
        <v>1435</v>
      </c>
      <c r="G122" s="77" t="s">
        <v>719</v>
      </c>
      <c r="H122" s="77" t="s">
        <v>295</v>
      </c>
      <c r="I122" s="77" t="s">
        <v>16</v>
      </c>
      <c r="J122" s="77" t="s">
        <v>732</v>
      </c>
      <c r="K122" s="82" t="s">
        <v>38</v>
      </c>
      <c r="L122" s="82">
        <v>3</v>
      </c>
      <c r="M122" s="82"/>
    </row>
    <row r="124" spans="1:19" x14ac:dyDescent="0.25">
      <c r="A124" s="76" t="s">
        <v>1544</v>
      </c>
      <c r="B124" s="76" t="s">
        <v>1545</v>
      </c>
      <c r="C124" s="77" t="s">
        <v>1546</v>
      </c>
      <c r="D124" s="77" t="s">
        <v>1547</v>
      </c>
      <c r="E124" s="77" t="s">
        <v>12</v>
      </c>
      <c r="F124" s="77" t="s">
        <v>1548</v>
      </c>
      <c r="G124" s="77" t="s">
        <v>726</v>
      </c>
      <c r="H124" s="77" t="s">
        <v>292</v>
      </c>
      <c r="I124" s="77" t="s">
        <v>16</v>
      </c>
      <c r="J124" s="77" t="s">
        <v>727</v>
      </c>
      <c r="K124" s="82" t="s">
        <v>18</v>
      </c>
      <c r="L124" s="82">
        <v>3</v>
      </c>
      <c r="M124" s="82"/>
      <c r="N124" s="74">
        <f>15000000-380000</f>
        <v>14620000</v>
      </c>
      <c r="O124" s="74">
        <v>14620000</v>
      </c>
      <c r="P124" s="74">
        <v>14620000</v>
      </c>
      <c r="Q124" s="83">
        <v>12000000</v>
      </c>
      <c r="R124" s="83">
        <v>12000000</v>
      </c>
      <c r="S124" s="83">
        <v>13000000</v>
      </c>
    </row>
    <row r="126" spans="1:19" x14ac:dyDescent="0.25">
      <c r="A126" s="76" t="s">
        <v>2001</v>
      </c>
      <c r="B126" s="76" t="s">
        <v>1549</v>
      </c>
      <c r="C126" s="77" t="s">
        <v>1550</v>
      </c>
      <c r="D126" s="77" t="s">
        <v>1547</v>
      </c>
      <c r="E126" s="77" t="s">
        <v>12</v>
      </c>
      <c r="F126" s="77" t="s">
        <v>1454</v>
      </c>
      <c r="G126" s="77" t="s">
        <v>721</v>
      </c>
      <c r="H126" s="77" t="s">
        <v>292</v>
      </c>
      <c r="I126" s="77" t="s">
        <v>16</v>
      </c>
      <c r="J126" s="77" t="s">
        <v>722</v>
      </c>
      <c r="K126" s="82" t="s">
        <v>18</v>
      </c>
      <c r="L126" s="82">
        <v>3</v>
      </c>
      <c r="M126" s="82"/>
      <c r="N126" s="123">
        <v>70000</v>
      </c>
      <c r="O126" s="123">
        <v>220000</v>
      </c>
      <c r="P126" s="123">
        <v>220000</v>
      </c>
      <c r="Q126" s="83">
        <v>220000</v>
      </c>
      <c r="R126" s="83">
        <v>220000</v>
      </c>
      <c r="S126" s="83">
        <v>220000</v>
      </c>
    </row>
    <row r="127" spans="1:19" x14ac:dyDescent="0.25">
      <c r="O127" s="123"/>
      <c r="P127" s="123"/>
    </row>
    <row r="128" spans="1:19" x14ac:dyDescent="0.25">
      <c r="A128" s="76" t="s">
        <v>2002</v>
      </c>
      <c r="B128" s="76" t="s">
        <v>1551</v>
      </c>
      <c r="C128" s="77" t="s">
        <v>1552</v>
      </c>
      <c r="D128" s="77" t="s">
        <v>1553</v>
      </c>
      <c r="E128" s="77" t="s">
        <v>12</v>
      </c>
      <c r="F128" s="77" t="s">
        <v>895</v>
      </c>
      <c r="G128" s="77" t="s">
        <v>817</v>
      </c>
      <c r="H128" s="77" t="s">
        <v>292</v>
      </c>
      <c r="I128" s="77" t="s">
        <v>16</v>
      </c>
      <c r="J128" s="77" t="s">
        <v>818</v>
      </c>
      <c r="K128" s="82" t="s">
        <v>18</v>
      </c>
      <c r="L128" s="82">
        <v>3</v>
      </c>
      <c r="M128" s="82"/>
      <c r="N128" s="123">
        <v>150000</v>
      </c>
      <c r="O128" s="123">
        <v>0</v>
      </c>
      <c r="P128" s="123">
        <v>0</v>
      </c>
      <c r="Q128" s="83">
        <v>150000</v>
      </c>
      <c r="R128" s="83">
        <v>150000</v>
      </c>
      <c r="S128" s="83">
        <v>150000</v>
      </c>
    </row>
    <row r="130" spans="1:19" s="107" customFormat="1" x14ac:dyDescent="0.25">
      <c r="A130" s="50" t="s">
        <v>2003</v>
      </c>
      <c r="B130" s="50" t="s">
        <v>1554</v>
      </c>
      <c r="C130" s="52" t="s">
        <v>2077</v>
      </c>
      <c r="D130" s="52" t="s">
        <v>1555</v>
      </c>
      <c r="E130" s="52" t="s">
        <v>12</v>
      </c>
      <c r="F130" s="52" t="s">
        <v>150</v>
      </c>
      <c r="G130" s="52" t="s">
        <v>947</v>
      </c>
      <c r="H130" s="52" t="s">
        <v>292</v>
      </c>
      <c r="I130" s="52" t="s">
        <v>16</v>
      </c>
      <c r="J130" s="52" t="s">
        <v>948</v>
      </c>
      <c r="K130" s="104" t="s">
        <v>18</v>
      </c>
      <c r="L130" s="104">
        <v>3</v>
      </c>
      <c r="M130" s="104"/>
      <c r="N130" s="105">
        <f>400000+300000</f>
        <v>700000</v>
      </c>
      <c r="O130" s="105">
        <v>700000</v>
      </c>
      <c r="P130" s="105">
        <v>700000</v>
      </c>
      <c r="Q130" s="114">
        <v>700000</v>
      </c>
      <c r="R130" s="114">
        <v>700000</v>
      </c>
      <c r="S130" s="114">
        <v>700000</v>
      </c>
    </row>
    <row r="131" spans="1:19" hidden="1" x14ac:dyDescent="0.25">
      <c r="A131" s="76" t="s">
        <v>2003</v>
      </c>
      <c r="B131" s="76" t="s">
        <v>1554</v>
      </c>
      <c r="C131" s="76" t="s">
        <v>2016</v>
      </c>
      <c r="D131" s="77" t="s">
        <v>1555</v>
      </c>
      <c r="E131" s="77" t="s">
        <v>1872</v>
      </c>
      <c r="F131" s="77" t="s">
        <v>1390</v>
      </c>
      <c r="G131" s="77"/>
      <c r="H131" s="77"/>
      <c r="I131" s="77"/>
      <c r="J131" s="77"/>
      <c r="K131" s="82"/>
      <c r="L131" s="82"/>
      <c r="M131" s="82"/>
      <c r="Q131" s="83"/>
      <c r="R131" s="83"/>
      <c r="S131" s="83"/>
    </row>
    <row r="132" spans="1:19" hidden="1" x14ac:dyDescent="0.25">
      <c r="A132" s="76" t="s">
        <v>2003</v>
      </c>
      <c r="B132" s="76" t="s">
        <v>1554</v>
      </c>
      <c r="C132" s="76" t="s">
        <v>2078</v>
      </c>
      <c r="D132" s="77"/>
      <c r="E132" s="77"/>
      <c r="F132" s="77" t="s">
        <v>1878</v>
      </c>
      <c r="G132" s="77"/>
      <c r="H132" s="77"/>
      <c r="I132" s="77"/>
      <c r="J132" s="77"/>
      <c r="K132" s="82"/>
      <c r="L132" s="82"/>
      <c r="M132" s="82"/>
      <c r="Q132" s="83"/>
      <c r="R132" s="83"/>
      <c r="S132" s="83"/>
    </row>
    <row r="133" spans="1:19" hidden="1" x14ac:dyDescent="0.25">
      <c r="A133" s="76" t="s">
        <v>2003</v>
      </c>
      <c r="B133" s="76" t="s">
        <v>1554</v>
      </c>
      <c r="C133" s="76" t="s">
        <v>2079</v>
      </c>
      <c r="D133" s="77"/>
      <c r="E133" s="77"/>
      <c r="F133" s="77" t="s">
        <v>1879</v>
      </c>
      <c r="G133" s="77"/>
      <c r="H133" s="77"/>
      <c r="I133" s="77"/>
      <c r="J133" s="77"/>
      <c r="K133" s="82"/>
      <c r="L133" s="82"/>
      <c r="M133" s="82"/>
      <c r="Q133" s="83"/>
      <c r="R133" s="83"/>
      <c r="S133" s="83"/>
    </row>
    <row r="134" spans="1:19" hidden="1" x14ac:dyDescent="0.25">
      <c r="A134" s="76" t="s">
        <v>2003</v>
      </c>
      <c r="B134" s="76" t="s">
        <v>1554</v>
      </c>
      <c r="C134" s="76" t="s">
        <v>2080</v>
      </c>
      <c r="D134" s="77"/>
      <c r="E134" s="77"/>
      <c r="F134" s="77" t="s">
        <v>1880</v>
      </c>
      <c r="G134" s="77"/>
      <c r="H134" s="77"/>
      <c r="I134" s="77"/>
      <c r="J134" s="77"/>
      <c r="K134" s="82"/>
      <c r="L134" s="82"/>
      <c r="M134" s="82"/>
      <c r="Q134" s="83"/>
      <c r="R134" s="83"/>
      <c r="S134" s="83"/>
    </row>
    <row r="135" spans="1:19" hidden="1" x14ac:dyDescent="0.25">
      <c r="A135" s="76" t="s">
        <v>2003</v>
      </c>
      <c r="B135" s="76" t="s">
        <v>1554</v>
      </c>
      <c r="C135" s="76" t="s">
        <v>2081</v>
      </c>
      <c r="D135" s="77"/>
      <c r="E135" s="77"/>
      <c r="F135" s="77" t="s">
        <v>1881</v>
      </c>
      <c r="G135" s="77"/>
      <c r="H135" s="77"/>
      <c r="I135" s="77"/>
      <c r="J135" s="77"/>
      <c r="K135" s="82"/>
      <c r="L135" s="82"/>
      <c r="M135" s="82"/>
      <c r="Q135" s="83"/>
      <c r="R135" s="83"/>
      <c r="S135" s="83"/>
    </row>
    <row r="136" spans="1:19" x14ac:dyDescent="0.25">
      <c r="A136" s="76" t="s">
        <v>2003</v>
      </c>
      <c r="B136" s="76" t="s">
        <v>1554</v>
      </c>
      <c r="C136" s="76" t="s">
        <v>2082</v>
      </c>
      <c r="D136" s="77"/>
      <c r="E136" s="77"/>
      <c r="F136" s="77" t="s">
        <v>1886</v>
      </c>
      <c r="G136" s="77"/>
      <c r="H136" s="77"/>
      <c r="I136" s="77"/>
      <c r="J136" s="77"/>
      <c r="K136" s="82"/>
      <c r="L136" s="82"/>
      <c r="M136" s="82"/>
      <c r="N136" s="74">
        <v>500000</v>
      </c>
      <c r="O136" s="74">
        <v>500000</v>
      </c>
      <c r="P136" s="74">
        <v>500000</v>
      </c>
      <c r="Q136" s="83">
        <v>500000</v>
      </c>
      <c r="R136" s="83">
        <v>500000</v>
      </c>
      <c r="S136" s="83">
        <v>500000</v>
      </c>
    </row>
    <row r="137" spans="1:19" x14ac:dyDescent="0.25">
      <c r="A137" s="76" t="s">
        <v>2003</v>
      </c>
      <c r="B137" s="76" t="s">
        <v>1554</v>
      </c>
      <c r="C137" s="76" t="s">
        <v>2083</v>
      </c>
      <c r="D137" s="77"/>
      <c r="E137" s="77"/>
      <c r="F137" s="77" t="s">
        <v>1882</v>
      </c>
      <c r="G137" s="77"/>
      <c r="H137" s="77"/>
      <c r="I137" s="77"/>
      <c r="J137" s="77"/>
      <c r="K137" s="82"/>
      <c r="L137" s="82"/>
      <c r="M137" s="82"/>
      <c r="N137" s="74">
        <v>150000</v>
      </c>
      <c r="O137" s="74">
        <v>150000</v>
      </c>
      <c r="P137" s="74">
        <v>150000</v>
      </c>
      <c r="Q137" s="83">
        <v>150000</v>
      </c>
      <c r="R137" s="83">
        <v>150000</v>
      </c>
      <c r="S137" s="83">
        <v>150000</v>
      </c>
    </row>
    <row r="138" spans="1:19" x14ac:dyDescent="0.25">
      <c r="Q138" s="83"/>
      <c r="R138" s="83"/>
      <c r="S138" s="83"/>
    </row>
    <row r="139" spans="1:19" s="107" customFormat="1" x14ac:dyDescent="0.25">
      <c r="A139" s="50" t="s">
        <v>2004</v>
      </c>
      <c r="B139" s="50" t="s">
        <v>1556</v>
      </c>
      <c r="C139" s="52" t="s">
        <v>1557</v>
      </c>
      <c r="D139" s="52" t="s">
        <v>1558</v>
      </c>
      <c r="E139" s="52" t="s">
        <v>12</v>
      </c>
      <c r="F139" s="52" t="s">
        <v>895</v>
      </c>
      <c r="G139" s="52" t="s">
        <v>947</v>
      </c>
      <c r="H139" s="52" t="s">
        <v>295</v>
      </c>
      <c r="I139" s="52" t="s">
        <v>16</v>
      </c>
      <c r="J139" s="52" t="s">
        <v>948</v>
      </c>
      <c r="K139" s="104" t="s">
        <v>38</v>
      </c>
      <c r="L139" s="104">
        <v>1</v>
      </c>
      <c r="M139" s="104"/>
      <c r="N139" s="105">
        <v>70000</v>
      </c>
      <c r="O139" s="105">
        <v>0</v>
      </c>
      <c r="P139" s="105">
        <v>0</v>
      </c>
      <c r="Q139" s="177">
        <v>100000</v>
      </c>
      <c r="R139" s="177">
        <v>150000</v>
      </c>
      <c r="S139" s="177">
        <v>160000</v>
      </c>
    </row>
    <row r="140" spans="1:19" x14ac:dyDescent="0.25">
      <c r="Q140" s="180"/>
      <c r="R140" s="180"/>
      <c r="S140" s="180"/>
    </row>
    <row r="141" spans="1:19" s="107" customFormat="1" x14ac:dyDescent="0.25">
      <c r="A141" s="50" t="s">
        <v>2005</v>
      </c>
      <c r="B141" s="50" t="s">
        <v>1559</v>
      </c>
      <c r="C141" s="52" t="s">
        <v>1560</v>
      </c>
      <c r="D141" s="52" t="s">
        <v>723</v>
      </c>
      <c r="E141" s="52" t="s">
        <v>12</v>
      </c>
      <c r="F141" s="52" t="s">
        <v>1561</v>
      </c>
      <c r="G141" s="52" t="s">
        <v>724</v>
      </c>
      <c r="H141" s="52" t="s">
        <v>292</v>
      </c>
      <c r="I141" s="52" t="s">
        <v>16</v>
      </c>
      <c r="J141" s="52" t="s">
        <v>725</v>
      </c>
      <c r="K141" s="104" t="s">
        <v>18</v>
      </c>
      <c r="L141" s="104">
        <v>3</v>
      </c>
      <c r="M141" s="104"/>
      <c r="N141" s="105">
        <v>200000</v>
      </c>
      <c r="O141" s="122">
        <v>0</v>
      </c>
      <c r="P141" s="122">
        <v>0</v>
      </c>
      <c r="Q141" s="177">
        <v>220000</v>
      </c>
      <c r="R141" s="177">
        <v>230000</v>
      </c>
      <c r="S141" s="177">
        <v>240000</v>
      </c>
    </row>
    <row r="142" spans="1:19" s="107" customFormat="1" hidden="1" x14ac:dyDescent="0.25">
      <c r="A142" s="50" t="s">
        <v>2005</v>
      </c>
      <c r="B142" s="50" t="s">
        <v>1559</v>
      </c>
      <c r="C142" s="52" t="s">
        <v>1562</v>
      </c>
      <c r="D142" s="52" t="s">
        <v>723</v>
      </c>
      <c r="E142" s="52" t="s">
        <v>12</v>
      </c>
      <c r="F142" s="52" t="s">
        <v>1534</v>
      </c>
      <c r="G142" s="52" t="s">
        <v>724</v>
      </c>
      <c r="H142" s="52" t="s">
        <v>292</v>
      </c>
      <c r="I142" s="52" t="s">
        <v>16</v>
      </c>
      <c r="J142" s="52" t="s">
        <v>725</v>
      </c>
      <c r="K142" s="104" t="s">
        <v>18</v>
      </c>
      <c r="L142" s="104">
        <v>3</v>
      </c>
      <c r="M142" s="104"/>
      <c r="N142" s="105">
        <v>0</v>
      </c>
      <c r="O142" s="122">
        <v>0</v>
      </c>
      <c r="P142" s="122">
        <v>0</v>
      </c>
      <c r="Q142" s="179"/>
      <c r="R142" s="179"/>
      <c r="S142" s="179"/>
    </row>
    <row r="143" spans="1:19" s="107" customFormat="1" hidden="1" x14ac:dyDescent="0.25">
      <c r="A143" s="50" t="s">
        <v>2005</v>
      </c>
      <c r="B143" s="50" t="s">
        <v>1559</v>
      </c>
      <c r="C143" s="52" t="s">
        <v>1563</v>
      </c>
      <c r="D143" s="52" t="s">
        <v>723</v>
      </c>
      <c r="E143" s="52" t="s">
        <v>12</v>
      </c>
      <c r="F143" s="52" t="s">
        <v>1564</v>
      </c>
      <c r="G143" s="52" t="s">
        <v>724</v>
      </c>
      <c r="H143" s="52" t="s">
        <v>292</v>
      </c>
      <c r="I143" s="52" t="s">
        <v>16</v>
      </c>
      <c r="J143" s="52" t="s">
        <v>725</v>
      </c>
      <c r="K143" s="104" t="s">
        <v>18</v>
      </c>
      <c r="L143" s="104">
        <v>3</v>
      </c>
      <c r="M143" s="104"/>
      <c r="N143" s="105">
        <v>0</v>
      </c>
      <c r="O143" s="122">
        <v>0</v>
      </c>
      <c r="P143" s="122">
        <v>0</v>
      </c>
      <c r="Q143" s="179"/>
      <c r="R143" s="179"/>
      <c r="S143" s="179"/>
    </row>
    <row r="144" spans="1:19" s="107" customFormat="1" x14ac:dyDescent="0.25">
      <c r="O144" s="122"/>
      <c r="P144" s="122"/>
      <c r="Q144" s="179"/>
      <c r="R144" s="179"/>
      <c r="S144" s="179"/>
    </row>
    <row r="145" spans="1:19" s="107" customFormat="1" x14ac:dyDescent="0.25">
      <c r="A145" s="50" t="s">
        <v>2006</v>
      </c>
      <c r="B145" s="50" t="s">
        <v>1565</v>
      </c>
      <c r="C145" s="52" t="s">
        <v>1566</v>
      </c>
      <c r="D145" s="52" t="s">
        <v>1567</v>
      </c>
      <c r="E145" s="52" t="s">
        <v>12</v>
      </c>
      <c r="F145" s="52" t="s">
        <v>1561</v>
      </c>
      <c r="G145" s="52" t="s">
        <v>724</v>
      </c>
      <c r="H145" s="52" t="s">
        <v>292</v>
      </c>
      <c r="I145" s="52" t="s">
        <v>16</v>
      </c>
      <c r="J145" s="52" t="s">
        <v>725</v>
      </c>
      <c r="K145" s="104" t="s">
        <v>18</v>
      </c>
      <c r="L145" s="104">
        <v>3</v>
      </c>
      <c r="M145" s="104"/>
      <c r="N145" s="122">
        <v>100000</v>
      </c>
      <c r="O145" s="122">
        <v>0</v>
      </c>
      <c r="P145" s="122">
        <v>0</v>
      </c>
      <c r="Q145" s="177">
        <v>200000</v>
      </c>
      <c r="R145" s="177">
        <v>200000</v>
      </c>
      <c r="S145" s="177">
        <v>200000</v>
      </c>
    </row>
    <row r="146" spans="1:19" s="107" customFormat="1" hidden="1" x14ac:dyDescent="0.25">
      <c r="A146" s="50" t="s">
        <v>2006</v>
      </c>
      <c r="B146" s="50" t="s">
        <v>1565</v>
      </c>
      <c r="C146" s="52" t="s">
        <v>1568</v>
      </c>
      <c r="D146" s="52" t="s">
        <v>1567</v>
      </c>
      <c r="E146" s="52" t="s">
        <v>12</v>
      </c>
      <c r="F146" s="52" t="s">
        <v>435</v>
      </c>
      <c r="G146" s="52" t="s">
        <v>724</v>
      </c>
      <c r="H146" s="52" t="s">
        <v>292</v>
      </c>
      <c r="I146" s="52" t="s">
        <v>16</v>
      </c>
      <c r="J146" s="52" t="s">
        <v>725</v>
      </c>
      <c r="K146" s="104" t="s">
        <v>18</v>
      </c>
      <c r="L146" s="104">
        <v>3</v>
      </c>
      <c r="M146" s="104"/>
      <c r="N146" s="122">
        <v>0</v>
      </c>
      <c r="O146" s="122">
        <v>0</v>
      </c>
      <c r="P146" s="122">
        <v>0</v>
      </c>
      <c r="Q146" s="179"/>
      <c r="R146" s="179"/>
      <c r="S146" s="179"/>
    </row>
    <row r="147" spans="1:19" s="107" customFormat="1" x14ac:dyDescent="0.25">
      <c r="Q147" s="179"/>
      <c r="R147" s="179"/>
      <c r="S147" s="179"/>
    </row>
    <row r="148" spans="1:19" s="107" customFormat="1" x14ac:dyDescent="0.25">
      <c r="A148" s="50" t="s">
        <v>2007</v>
      </c>
      <c r="B148" s="50" t="s">
        <v>1569</v>
      </c>
      <c r="C148" s="52" t="s">
        <v>1570</v>
      </c>
      <c r="D148" s="52" t="s">
        <v>1571</v>
      </c>
      <c r="E148" s="52" t="s">
        <v>12</v>
      </c>
      <c r="F148" s="52" t="s">
        <v>895</v>
      </c>
      <c r="G148" s="52" t="s">
        <v>724</v>
      </c>
      <c r="H148" s="52" t="s">
        <v>292</v>
      </c>
      <c r="I148" s="52" t="s">
        <v>16</v>
      </c>
      <c r="J148" s="52" t="s">
        <v>725</v>
      </c>
      <c r="K148" s="104" t="s">
        <v>18</v>
      </c>
      <c r="L148" s="104">
        <v>3</v>
      </c>
      <c r="M148" s="104"/>
      <c r="N148" s="122">
        <v>200000</v>
      </c>
      <c r="O148" s="122">
        <v>0</v>
      </c>
      <c r="P148" s="122">
        <v>0</v>
      </c>
      <c r="Q148" s="177">
        <v>300000</v>
      </c>
      <c r="R148" s="177">
        <v>300000</v>
      </c>
      <c r="S148" s="177">
        <v>300000</v>
      </c>
    </row>
    <row r="149" spans="1:19" s="107" customFormat="1" hidden="1" x14ac:dyDescent="0.25">
      <c r="A149" s="50" t="s">
        <v>2007</v>
      </c>
      <c r="B149" s="50" t="s">
        <v>1569</v>
      </c>
      <c r="C149" s="50" t="s">
        <v>1764</v>
      </c>
      <c r="F149" s="52" t="s">
        <v>1693</v>
      </c>
      <c r="N149" s="105">
        <v>0</v>
      </c>
      <c r="O149" s="122">
        <v>0</v>
      </c>
      <c r="P149" s="122">
        <v>0</v>
      </c>
      <c r="Q149" s="179"/>
      <c r="R149" s="179"/>
      <c r="S149" s="179"/>
    </row>
    <row r="150" spans="1:19" s="107" customFormat="1" x14ac:dyDescent="0.25">
      <c r="N150" s="136"/>
      <c r="O150" s="122"/>
      <c r="P150" s="122"/>
      <c r="Q150" s="179"/>
      <c r="R150" s="179"/>
      <c r="S150" s="179"/>
    </row>
    <row r="151" spans="1:19" s="107" customFormat="1" x14ac:dyDescent="0.25">
      <c r="A151" s="50" t="s">
        <v>2008</v>
      </c>
      <c r="B151" s="50" t="s">
        <v>1572</v>
      </c>
      <c r="C151" s="52" t="s">
        <v>1573</v>
      </c>
      <c r="D151" s="52" t="s">
        <v>1452</v>
      </c>
      <c r="E151" s="52" t="s">
        <v>12</v>
      </c>
      <c r="F151" s="52" t="s">
        <v>435</v>
      </c>
      <c r="G151" s="52" t="s">
        <v>724</v>
      </c>
      <c r="H151" s="52" t="s">
        <v>292</v>
      </c>
      <c r="I151" s="52" t="s">
        <v>16</v>
      </c>
      <c r="J151" s="52" t="s">
        <v>725</v>
      </c>
      <c r="K151" s="104" t="s">
        <v>18</v>
      </c>
      <c r="L151" s="104">
        <v>3</v>
      </c>
      <c r="M151" s="104"/>
      <c r="N151" s="105">
        <v>100000</v>
      </c>
      <c r="O151" s="122">
        <v>0</v>
      </c>
      <c r="P151" s="122">
        <v>0</v>
      </c>
      <c r="Q151" s="177">
        <v>150000</v>
      </c>
      <c r="R151" s="177">
        <v>150000</v>
      </c>
      <c r="S151" s="177">
        <v>150000</v>
      </c>
    </row>
    <row r="152" spans="1:19" x14ac:dyDescent="0.25">
      <c r="N152" s="75"/>
      <c r="O152" s="123"/>
      <c r="P152" s="123"/>
      <c r="Q152" s="180"/>
      <c r="R152" s="180"/>
      <c r="S152" s="180"/>
    </row>
    <row r="153" spans="1:19" x14ac:dyDescent="0.25">
      <c r="A153" s="76" t="s">
        <v>2009</v>
      </c>
      <c r="B153" s="76" t="s">
        <v>1574</v>
      </c>
      <c r="C153" s="77" t="s">
        <v>1575</v>
      </c>
      <c r="D153" s="77" t="s">
        <v>1576</v>
      </c>
      <c r="E153" s="77" t="s">
        <v>12</v>
      </c>
      <c r="F153" s="77" t="s">
        <v>1577</v>
      </c>
      <c r="G153" s="77" t="s">
        <v>721</v>
      </c>
      <c r="H153" s="77" t="s">
        <v>292</v>
      </c>
      <c r="I153" s="77" t="s">
        <v>16</v>
      </c>
      <c r="J153" s="77" t="s">
        <v>722</v>
      </c>
      <c r="K153" s="82" t="s">
        <v>18</v>
      </c>
      <c r="L153" s="82">
        <v>3</v>
      </c>
      <c r="M153" s="82"/>
      <c r="N153" s="74">
        <v>60000</v>
      </c>
      <c r="O153" s="123">
        <v>0</v>
      </c>
      <c r="P153" s="123">
        <v>0</v>
      </c>
      <c r="Q153" s="178">
        <v>60000</v>
      </c>
      <c r="R153" s="178">
        <v>60000</v>
      </c>
      <c r="S153" s="178">
        <v>60000</v>
      </c>
    </row>
    <row r="154" spans="1:19" x14ac:dyDescent="0.25">
      <c r="A154" s="76" t="s">
        <v>2009</v>
      </c>
      <c r="B154" s="76" t="s">
        <v>1574</v>
      </c>
      <c r="C154" s="77" t="s">
        <v>1578</v>
      </c>
      <c r="D154" s="77" t="s">
        <v>1576</v>
      </c>
      <c r="E154" s="77" t="s">
        <v>12</v>
      </c>
      <c r="F154" s="77" t="s">
        <v>895</v>
      </c>
      <c r="G154" s="77" t="s">
        <v>721</v>
      </c>
      <c r="H154" s="77" t="s">
        <v>292</v>
      </c>
      <c r="I154" s="77" t="s">
        <v>16</v>
      </c>
      <c r="J154" s="77" t="s">
        <v>722</v>
      </c>
      <c r="K154" s="82" t="s">
        <v>18</v>
      </c>
      <c r="L154" s="82">
        <v>3</v>
      </c>
      <c r="M154" s="82"/>
      <c r="N154" s="74">
        <v>100000</v>
      </c>
      <c r="O154" s="123">
        <v>0</v>
      </c>
      <c r="P154" s="123">
        <v>0</v>
      </c>
      <c r="Q154" s="178">
        <v>200000</v>
      </c>
      <c r="R154" s="178">
        <v>200000</v>
      </c>
      <c r="S154" s="178">
        <v>200000</v>
      </c>
    </row>
    <row r="156" spans="1:19" hidden="1" x14ac:dyDescent="0.25">
      <c r="A156" s="76" t="s">
        <v>2010</v>
      </c>
      <c r="B156" s="76" t="s">
        <v>1629</v>
      </c>
      <c r="C156" s="77" t="s">
        <v>1579</v>
      </c>
      <c r="D156" s="77" t="s">
        <v>1580</v>
      </c>
      <c r="E156" s="77" t="s">
        <v>617</v>
      </c>
      <c r="F156" s="77" t="s">
        <v>13</v>
      </c>
      <c r="G156" s="77" t="s">
        <v>126</v>
      </c>
      <c r="H156" s="77" t="s">
        <v>292</v>
      </c>
      <c r="I156" s="77" t="s">
        <v>16</v>
      </c>
      <c r="J156" s="77" t="s">
        <v>994</v>
      </c>
      <c r="K156" s="82" t="s">
        <v>18</v>
      </c>
      <c r="L156" s="82">
        <v>3</v>
      </c>
      <c r="M156" s="82"/>
    </row>
    <row r="157" spans="1:19" x14ac:dyDescent="0.25">
      <c r="A157" s="76" t="s">
        <v>2010</v>
      </c>
      <c r="B157" s="76" t="s">
        <v>1629</v>
      </c>
      <c r="C157" s="76" t="s">
        <v>1931</v>
      </c>
      <c r="D157" s="77"/>
      <c r="E157" s="77"/>
      <c r="F157" s="77" t="s">
        <v>13</v>
      </c>
      <c r="G157" s="77"/>
      <c r="H157" s="77"/>
      <c r="I157" s="77"/>
      <c r="J157" s="77"/>
      <c r="K157" s="82"/>
      <c r="L157" s="82"/>
      <c r="M157" s="82"/>
      <c r="N157" s="74">
        <v>50000</v>
      </c>
      <c r="O157" s="74">
        <v>50000</v>
      </c>
      <c r="P157" s="74">
        <v>50000</v>
      </c>
      <c r="Q157" s="83">
        <v>50000</v>
      </c>
      <c r="R157" s="83">
        <v>50000</v>
      </c>
      <c r="S157" s="83">
        <v>50000</v>
      </c>
    </row>
    <row r="158" spans="1:19" hidden="1" x14ac:dyDescent="0.25">
      <c r="A158" s="76" t="s">
        <v>2010</v>
      </c>
      <c r="B158" s="76" t="s">
        <v>1629</v>
      </c>
      <c r="C158" s="77" t="s">
        <v>1581</v>
      </c>
      <c r="D158" s="77" t="s">
        <v>1580</v>
      </c>
      <c r="E158" s="77" t="s">
        <v>617</v>
      </c>
      <c r="F158" s="77" t="s">
        <v>1696</v>
      </c>
      <c r="G158" s="77" t="s">
        <v>126</v>
      </c>
      <c r="H158" s="77" t="s">
        <v>292</v>
      </c>
      <c r="I158" s="77" t="s">
        <v>16</v>
      </c>
      <c r="J158" s="77" t="s">
        <v>994</v>
      </c>
      <c r="K158" s="82" t="s">
        <v>18</v>
      </c>
      <c r="L158" s="82">
        <v>3</v>
      </c>
      <c r="M158" s="82"/>
      <c r="N158" s="74"/>
      <c r="O158" s="85"/>
      <c r="P158" s="85"/>
      <c r="Q158" s="83"/>
      <c r="R158" s="83"/>
      <c r="S158" s="83"/>
    </row>
    <row r="159" spans="1:19" x14ac:dyDescent="0.25">
      <c r="A159" s="76" t="s">
        <v>2010</v>
      </c>
      <c r="B159" s="76" t="s">
        <v>1629</v>
      </c>
      <c r="C159" s="76" t="s">
        <v>1932</v>
      </c>
      <c r="D159" s="77"/>
      <c r="E159" s="77"/>
      <c r="F159" s="77" t="s">
        <v>1696</v>
      </c>
      <c r="G159" s="77"/>
      <c r="H159" s="77"/>
      <c r="I159" s="77"/>
      <c r="J159" s="77"/>
      <c r="K159" s="82"/>
      <c r="L159" s="82"/>
      <c r="M159" s="82"/>
      <c r="N159" s="74">
        <v>500000</v>
      </c>
      <c r="O159" s="74">
        <v>300000</v>
      </c>
      <c r="P159" s="74">
        <v>300000</v>
      </c>
      <c r="Q159" s="83">
        <v>300000</v>
      </c>
      <c r="R159" s="83">
        <v>300000</v>
      </c>
      <c r="S159" s="83">
        <v>300000</v>
      </c>
    </row>
    <row r="160" spans="1:19" hidden="1" x14ac:dyDescent="0.25">
      <c r="A160" s="76" t="s">
        <v>2010</v>
      </c>
      <c r="B160" s="76" t="s">
        <v>1629</v>
      </c>
      <c r="C160" s="77" t="s">
        <v>1582</v>
      </c>
      <c r="D160" s="77" t="s">
        <v>1580</v>
      </c>
      <c r="E160" s="77" t="s">
        <v>617</v>
      </c>
      <c r="F160" s="77" t="s">
        <v>282</v>
      </c>
      <c r="G160" s="77" t="s">
        <v>126</v>
      </c>
      <c r="H160" s="77" t="s">
        <v>292</v>
      </c>
      <c r="I160" s="77" t="s">
        <v>16</v>
      </c>
      <c r="J160" s="77" t="s">
        <v>994</v>
      </c>
      <c r="K160" s="82" t="s">
        <v>18</v>
      </c>
      <c r="L160" s="82">
        <v>3</v>
      </c>
      <c r="M160" s="82"/>
      <c r="O160" s="85"/>
      <c r="P160" s="85"/>
      <c r="Q160" s="83"/>
      <c r="R160" s="83"/>
      <c r="S160" s="83"/>
    </row>
    <row r="161" spans="1:19" x14ac:dyDescent="0.25">
      <c r="A161" s="76" t="s">
        <v>2010</v>
      </c>
      <c r="B161" s="76" t="s">
        <v>1629</v>
      </c>
      <c r="C161" s="76" t="s">
        <v>1933</v>
      </c>
      <c r="D161" s="77"/>
      <c r="E161" s="77"/>
      <c r="F161" s="77" t="s">
        <v>282</v>
      </c>
      <c r="G161" s="77"/>
      <c r="H161" s="77"/>
      <c r="I161" s="77"/>
      <c r="J161" s="77"/>
      <c r="K161" s="82"/>
      <c r="L161" s="82"/>
      <c r="M161" s="82"/>
      <c r="N161" s="74">
        <v>400000</v>
      </c>
      <c r="O161" s="74">
        <v>600000</v>
      </c>
      <c r="P161" s="74">
        <v>600000</v>
      </c>
      <c r="Q161" s="83">
        <v>600000</v>
      </c>
      <c r="R161" s="83">
        <v>600000</v>
      </c>
      <c r="S161" s="83">
        <v>600000</v>
      </c>
    </row>
    <row r="162" spans="1:19" hidden="1" x14ac:dyDescent="0.25">
      <c r="A162" s="76" t="s">
        <v>2010</v>
      </c>
      <c r="B162" s="76" t="s">
        <v>1629</v>
      </c>
      <c r="C162" s="77" t="s">
        <v>1583</v>
      </c>
      <c r="D162" s="77" t="s">
        <v>1580</v>
      </c>
      <c r="E162" s="77" t="s">
        <v>617</v>
      </c>
      <c r="F162" s="77" t="s">
        <v>43</v>
      </c>
      <c r="G162" s="77" t="s">
        <v>126</v>
      </c>
      <c r="H162" s="77" t="s">
        <v>292</v>
      </c>
      <c r="I162" s="77" t="s">
        <v>16</v>
      </c>
      <c r="J162" s="77" t="s">
        <v>994</v>
      </c>
      <c r="K162" s="82" t="s">
        <v>18</v>
      </c>
      <c r="L162" s="82">
        <v>3</v>
      </c>
      <c r="M162" s="82"/>
      <c r="Q162" s="83"/>
      <c r="R162" s="83"/>
      <c r="S162" s="83"/>
    </row>
    <row r="163" spans="1:19" x14ac:dyDescent="0.25">
      <c r="A163" s="76" t="s">
        <v>2010</v>
      </c>
      <c r="B163" s="76" t="s">
        <v>1629</v>
      </c>
      <c r="C163" s="76" t="s">
        <v>1934</v>
      </c>
      <c r="D163" s="77"/>
      <c r="E163" s="77"/>
      <c r="F163" s="77" t="s">
        <v>43</v>
      </c>
      <c r="G163" s="77"/>
      <c r="H163" s="77"/>
      <c r="I163" s="77"/>
      <c r="J163" s="77"/>
      <c r="K163" s="82"/>
      <c r="L163" s="82"/>
      <c r="M163" s="82"/>
      <c r="N163" s="74">
        <v>500000</v>
      </c>
      <c r="O163" s="74">
        <v>500000</v>
      </c>
      <c r="P163" s="74">
        <v>500000</v>
      </c>
      <c r="Q163" s="83">
        <v>500000</v>
      </c>
      <c r="R163" s="83">
        <v>500000</v>
      </c>
      <c r="S163" s="83">
        <v>500000</v>
      </c>
    </row>
    <row r="164" spans="1:19" x14ac:dyDescent="0.25">
      <c r="A164" s="76" t="s">
        <v>2010</v>
      </c>
      <c r="B164" s="76" t="s">
        <v>1629</v>
      </c>
      <c r="C164" s="77" t="s">
        <v>1584</v>
      </c>
      <c r="D164" s="77" t="s">
        <v>1585</v>
      </c>
      <c r="E164" s="77" t="s">
        <v>1016</v>
      </c>
      <c r="F164" s="77" t="s">
        <v>157</v>
      </c>
      <c r="G164" s="77" t="s">
        <v>126</v>
      </c>
      <c r="H164" s="77" t="s">
        <v>295</v>
      </c>
      <c r="I164" s="77" t="s">
        <v>16</v>
      </c>
      <c r="J164" s="77" t="s">
        <v>994</v>
      </c>
      <c r="K164" s="82" t="s">
        <v>38</v>
      </c>
      <c r="L164" s="82">
        <v>1</v>
      </c>
      <c r="M164" s="82"/>
      <c r="N164" s="74">
        <v>3851000</v>
      </c>
      <c r="O164" s="74">
        <v>3851000</v>
      </c>
      <c r="P164" s="74">
        <v>3851000</v>
      </c>
      <c r="Q164" s="83">
        <v>4035000</v>
      </c>
      <c r="R164" s="83">
        <v>0</v>
      </c>
      <c r="S164" s="83">
        <v>0</v>
      </c>
    </row>
    <row r="165" spans="1:19" x14ac:dyDescent="0.25">
      <c r="A165" s="76" t="s">
        <v>2010</v>
      </c>
      <c r="B165" s="76" t="s">
        <v>1629</v>
      </c>
      <c r="C165" s="77" t="s">
        <v>1749</v>
      </c>
      <c r="D165" s="77" t="s">
        <v>1585</v>
      </c>
      <c r="E165" s="77" t="s">
        <v>12</v>
      </c>
      <c r="F165" s="77" t="s">
        <v>157</v>
      </c>
      <c r="G165" s="77"/>
      <c r="H165" s="77"/>
      <c r="I165" s="77"/>
      <c r="J165" s="77"/>
      <c r="K165" s="82"/>
      <c r="L165" s="82"/>
      <c r="M165" s="82"/>
      <c r="N165" s="74">
        <v>453000</v>
      </c>
      <c r="O165" s="74">
        <v>453000</v>
      </c>
      <c r="P165" s="74">
        <v>453000</v>
      </c>
      <c r="Q165" s="83">
        <v>453000</v>
      </c>
      <c r="R165" s="83">
        <v>453000</v>
      </c>
      <c r="S165" s="83">
        <v>453000</v>
      </c>
    </row>
    <row r="166" spans="1:19" hidden="1" x14ac:dyDescent="0.25">
      <c r="A166" s="76" t="s">
        <v>2010</v>
      </c>
      <c r="B166" s="76" t="s">
        <v>1629</v>
      </c>
      <c r="C166" s="77" t="s">
        <v>1586</v>
      </c>
      <c r="D166" s="77" t="s">
        <v>1580</v>
      </c>
      <c r="E166" s="77" t="s">
        <v>617</v>
      </c>
      <c r="F166" s="77" t="s">
        <v>435</v>
      </c>
      <c r="G166" s="77" t="s">
        <v>126</v>
      </c>
      <c r="H166" s="77" t="s">
        <v>292</v>
      </c>
      <c r="I166" s="77" t="s">
        <v>16</v>
      </c>
      <c r="J166" s="77" t="s">
        <v>994</v>
      </c>
      <c r="K166" s="82" t="s">
        <v>18</v>
      </c>
      <c r="L166" s="82">
        <v>3</v>
      </c>
      <c r="M166" s="82"/>
      <c r="N166" s="74"/>
      <c r="O166" s="74"/>
      <c r="P166" s="74"/>
      <c r="Q166" s="83"/>
      <c r="R166" s="83"/>
      <c r="S166" s="83"/>
    </row>
    <row r="167" spans="1:19" x14ac:dyDescent="0.25">
      <c r="A167" s="76" t="s">
        <v>2010</v>
      </c>
      <c r="B167" s="76" t="s">
        <v>1629</v>
      </c>
      <c r="C167" s="76" t="s">
        <v>1935</v>
      </c>
      <c r="D167" s="77"/>
      <c r="E167" s="77"/>
      <c r="F167" s="77" t="s">
        <v>435</v>
      </c>
      <c r="G167" s="77"/>
      <c r="H167" s="77"/>
      <c r="I167" s="77"/>
      <c r="J167" s="77"/>
      <c r="K167" s="82"/>
      <c r="L167" s="82"/>
      <c r="M167" s="82"/>
      <c r="N167" s="74">
        <v>30000</v>
      </c>
      <c r="O167" s="74">
        <v>30000</v>
      </c>
      <c r="P167" s="74">
        <v>30000</v>
      </c>
      <c r="Q167" s="83">
        <v>30000</v>
      </c>
      <c r="R167" s="83">
        <v>30000</v>
      </c>
      <c r="S167" s="83">
        <v>30000</v>
      </c>
    </row>
    <row r="168" spans="1:19" hidden="1" x14ac:dyDescent="0.25">
      <c r="A168" s="76" t="s">
        <v>2010</v>
      </c>
      <c r="B168" s="76" t="s">
        <v>1629</v>
      </c>
      <c r="C168" s="76" t="s">
        <v>1936</v>
      </c>
      <c r="D168" s="77"/>
      <c r="E168" s="77"/>
      <c r="F168" s="77" t="s">
        <v>1828</v>
      </c>
      <c r="G168" s="77"/>
      <c r="H168" s="77"/>
      <c r="I168" s="77"/>
      <c r="J168" s="77"/>
      <c r="K168" s="82"/>
      <c r="L168" s="82"/>
      <c r="M168" s="82"/>
      <c r="O168" s="74"/>
      <c r="P168" s="74"/>
      <c r="Q168" s="83"/>
      <c r="R168" s="83"/>
      <c r="S168" s="83"/>
    </row>
    <row r="169" spans="1:19" x14ac:dyDescent="0.25">
      <c r="A169" s="76" t="s">
        <v>2010</v>
      </c>
      <c r="B169" s="76" t="s">
        <v>1629</v>
      </c>
      <c r="C169" s="76" t="s">
        <v>1937</v>
      </c>
      <c r="D169" s="77"/>
      <c r="E169" s="77"/>
      <c r="F169" s="77" t="s">
        <v>1828</v>
      </c>
      <c r="G169" s="77"/>
      <c r="H169" s="77"/>
      <c r="I169" s="77"/>
      <c r="J169" s="77"/>
      <c r="K169" s="82"/>
      <c r="L169" s="82"/>
      <c r="M169" s="82"/>
      <c r="N169" s="74">
        <v>30000</v>
      </c>
      <c r="O169" s="74">
        <v>30000</v>
      </c>
      <c r="P169" s="74">
        <v>30000</v>
      </c>
      <c r="Q169" s="83">
        <v>30000</v>
      </c>
      <c r="R169" s="83">
        <v>30000</v>
      </c>
      <c r="S169" s="83">
        <v>30000</v>
      </c>
    </row>
    <row r="170" spans="1:19" hidden="1" x14ac:dyDescent="0.25">
      <c r="A170" s="76" t="s">
        <v>2010</v>
      </c>
      <c r="B170" s="76" t="s">
        <v>1629</v>
      </c>
      <c r="C170" s="76" t="s">
        <v>1938</v>
      </c>
      <c r="D170" s="77"/>
      <c r="E170" s="77"/>
      <c r="F170" s="77" t="s">
        <v>1829</v>
      </c>
      <c r="G170" s="77"/>
      <c r="H170" s="77"/>
      <c r="I170" s="77"/>
      <c r="J170" s="77"/>
      <c r="K170" s="82"/>
      <c r="L170" s="82"/>
      <c r="M170" s="82"/>
      <c r="O170" s="74"/>
      <c r="P170" s="74"/>
      <c r="Q170" s="83"/>
      <c r="R170" s="83"/>
      <c r="S170" s="83"/>
    </row>
    <row r="171" spans="1:19" x14ac:dyDescent="0.25">
      <c r="A171" s="76" t="s">
        <v>2010</v>
      </c>
      <c r="B171" s="76" t="s">
        <v>1629</v>
      </c>
      <c r="C171" s="76" t="s">
        <v>1939</v>
      </c>
      <c r="D171" s="77"/>
      <c r="E171" s="77"/>
      <c r="F171" s="77" t="s">
        <v>1829</v>
      </c>
      <c r="G171" s="77"/>
      <c r="H171" s="77"/>
      <c r="I171" s="77"/>
      <c r="J171" s="77"/>
      <c r="K171" s="82"/>
      <c r="L171" s="82"/>
      <c r="M171" s="82"/>
      <c r="N171" s="74">
        <v>5000</v>
      </c>
      <c r="O171" s="74">
        <v>5000</v>
      </c>
      <c r="P171" s="74">
        <v>5000</v>
      </c>
      <c r="Q171" s="83">
        <v>5000</v>
      </c>
      <c r="R171" s="83">
        <v>5000</v>
      </c>
      <c r="S171" s="83">
        <v>5000</v>
      </c>
    </row>
    <row r="173" spans="1:19" x14ac:dyDescent="0.25">
      <c r="A173" s="76" t="s">
        <v>2011</v>
      </c>
      <c r="B173" s="76" t="s">
        <v>1587</v>
      </c>
      <c r="C173" s="77" t="s">
        <v>1588</v>
      </c>
      <c r="D173" s="77" t="s">
        <v>1585</v>
      </c>
      <c r="E173" s="77" t="s">
        <v>12</v>
      </c>
      <c r="F173" s="77" t="s">
        <v>13</v>
      </c>
      <c r="G173" s="77" t="s">
        <v>301</v>
      </c>
      <c r="H173" s="77" t="s">
        <v>295</v>
      </c>
      <c r="I173" s="77" t="s">
        <v>16</v>
      </c>
      <c r="J173" s="77" t="s">
        <v>302</v>
      </c>
      <c r="K173" s="82" t="s">
        <v>38</v>
      </c>
      <c r="L173" s="82">
        <v>1</v>
      </c>
      <c r="M173" s="82"/>
      <c r="N173" s="74">
        <v>10000</v>
      </c>
      <c r="O173" s="74">
        <v>10000</v>
      </c>
      <c r="P173" s="74">
        <v>10000</v>
      </c>
      <c r="Q173" s="83">
        <v>15000</v>
      </c>
      <c r="R173" s="83">
        <v>15000</v>
      </c>
      <c r="S173" s="83">
        <v>15000</v>
      </c>
    </row>
    <row r="174" spans="1:19" hidden="1" x14ac:dyDescent="0.25">
      <c r="A174" s="76" t="s">
        <v>2011</v>
      </c>
      <c r="B174" s="76" t="s">
        <v>1587</v>
      </c>
      <c r="C174" s="77" t="s">
        <v>1589</v>
      </c>
      <c r="D174" s="77" t="s">
        <v>1585</v>
      </c>
      <c r="E174" s="77" t="s">
        <v>12</v>
      </c>
      <c r="F174" s="77" t="s">
        <v>286</v>
      </c>
      <c r="G174" s="77" t="s">
        <v>301</v>
      </c>
      <c r="H174" s="77" t="s">
        <v>295</v>
      </c>
      <c r="I174" s="77" t="s">
        <v>16</v>
      </c>
      <c r="J174" s="77" t="s">
        <v>302</v>
      </c>
      <c r="K174" s="82" t="s">
        <v>38</v>
      </c>
      <c r="L174" s="82">
        <v>1</v>
      </c>
      <c r="M174" s="82"/>
      <c r="N174" s="83">
        <v>0</v>
      </c>
      <c r="O174" s="83">
        <v>0</v>
      </c>
      <c r="P174" s="83">
        <v>0</v>
      </c>
      <c r="Q174" s="83"/>
      <c r="R174" s="83"/>
      <c r="S174" s="83"/>
    </row>
    <row r="175" spans="1:19" hidden="1" x14ac:dyDescent="0.25">
      <c r="A175" s="76" t="s">
        <v>2011</v>
      </c>
      <c r="B175" s="76" t="s">
        <v>1587</v>
      </c>
      <c r="C175" s="77" t="s">
        <v>1590</v>
      </c>
      <c r="D175" s="77" t="s">
        <v>1585</v>
      </c>
      <c r="E175" s="77" t="s">
        <v>12</v>
      </c>
      <c r="F175" s="77" t="s">
        <v>43</v>
      </c>
      <c r="G175" s="77" t="s">
        <v>301</v>
      </c>
      <c r="H175" s="77" t="s">
        <v>295</v>
      </c>
      <c r="I175" s="77" t="s">
        <v>16</v>
      </c>
      <c r="J175" s="77" t="s">
        <v>302</v>
      </c>
      <c r="K175" s="82" t="s">
        <v>38</v>
      </c>
      <c r="L175" s="82">
        <v>1</v>
      </c>
      <c r="M175" s="82"/>
      <c r="N175" s="83">
        <v>0</v>
      </c>
      <c r="O175" s="83">
        <v>0</v>
      </c>
      <c r="P175" s="83">
        <v>0</v>
      </c>
      <c r="Q175" s="83"/>
      <c r="R175" s="83"/>
      <c r="S175" s="83"/>
    </row>
    <row r="176" spans="1:19" x14ac:dyDescent="0.25">
      <c r="A176" s="76" t="s">
        <v>2011</v>
      </c>
      <c r="B176" s="76" t="s">
        <v>1587</v>
      </c>
      <c r="C176" s="77" t="s">
        <v>1591</v>
      </c>
      <c r="D176" s="77" t="s">
        <v>1580</v>
      </c>
      <c r="E176" s="77" t="s">
        <v>12</v>
      </c>
      <c r="F176" s="77" t="s">
        <v>157</v>
      </c>
      <c r="G176" s="77" t="s">
        <v>301</v>
      </c>
      <c r="H176" s="77" t="s">
        <v>292</v>
      </c>
      <c r="I176" s="77" t="s">
        <v>16</v>
      </c>
      <c r="J176" s="77" t="s">
        <v>302</v>
      </c>
      <c r="K176" s="82" t="s">
        <v>18</v>
      </c>
      <c r="L176" s="82">
        <v>3</v>
      </c>
      <c r="M176" s="82"/>
      <c r="N176" s="74">
        <v>4000000</v>
      </c>
      <c r="O176" s="74">
        <v>4000000</v>
      </c>
      <c r="P176" s="74">
        <v>4000000</v>
      </c>
      <c r="Q176" s="83">
        <v>4200000</v>
      </c>
      <c r="R176" s="83">
        <v>4300000</v>
      </c>
      <c r="S176" s="83">
        <v>4700000</v>
      </c>
    </row>
    <row r="177" spans="1:19" x14ac:dyDescent="0.25">
      <c r="A177" s="76" t="s">
        <v>2011</v>
      </c>
      <c r="B177" s="76" t="s">
        <v>1587</v>
      </c>
      <c r="C177" s="77" t="s">
        <v>1592</v>
      </c>
      <c r="D177" s="77" t="s">
        <v>1585</v>
      </c>
      <c r="E177" s="77" t="s">
        <v>12</v>
      </c>
      <c r="F177" s="77" t="s">
        <v>435</v>
      </c>
      <c r="G177" s="77" t="s">
        <v>301</v>
      </c>
      <c r="H177" s="77" t="s">
        <v>295</v>
      </c>
      <c r="I177" s="77" t="s">
        <v>16</v>
      </c>
      <c r="J177" s="77" t="s">
        <v>302</v>
      </c>
      <c r="K177" s="82" t="s">
        <v>38</v>
      </c>
      <c r="L177" s="82">
        <v>1</v>
      </c>
      <c r="M177" s="82"/>
      <c r="N177" s="74">
        <v>10000</v>
      </c>
      <c r="O177" s="74">
        <v>10000</v>
      </c>
      <c r="P177" s="74">
        <v>10000</v>
      </c>
      <c r="Q177" s="83">
        <v>10000</v>
      </c>
      <c r="R177" s="83">
        <v>10000</v>
      </c>
      <c r="S177" s="83">
        <v>10000</v>
      </c>
    </row>
    <row r="178" spans="1:19" x14ac:dyDescent="0.25">
      <c r="A178" s="76" t="s">
        <v>2011</v>
      </c>
      <c r="B178" s="76" t="s">
        <v>1587</v>
      </c>
      <c r="C178" s="76" t="s">
        <v>1940</v>
      </c>
      <c r="D178" s="77"/>
      <c r="E178" s="77"/>
      <c r="F178" s="77" t="s">
        <v>1858</v>
      </c>
      <c r="G178" s="77"/>
      <c r="H178" s="77"/>
      <c r="I178" s="77"/>
      <c r="J178" s="77"/>
      <c r="K178" s="82"/>
      <c r="L178" s="82"/>
      <c r="M178" s="82"/>
      <c r="N178" s="123">
        <v>60000</v>
      </c>
      <c r="O178" s="74">
        <v>60000</v>
      </c>
      <c r="P178" s="74">
        <v>60000</v>
      </c>
      <c r="Q178" s="83">
        <v>60000</v>
      </c>
      <c r="R178" s="83">
        <v>60000</v>
      </c>
      <c r="S178" s="83">
        <v>60000</v>
      </c>
    </row>
    <row r="179" spans="1:19" x14ac:dyDescent="0.25">
      <c r="A179" s="76" t="s">
        <v>2011</v>
      </c>
      <c r="B179" s="76" t="s">
        <v>1587</v>
      </c>
      <c r="C179" s="76" t="s">
        <v>1941</v>
      </c>
      <c r="D179" s="77"/>
      <c r="E179" s="77"/>
      <c r="F179" s="77" t="s">
        <v>1859</v>
      </c>
      <c r="G179" s="77"/>
      <c r="H179" s="77"/>
      <c r="I179" s="77"/>
      <c r="J179" s="77"/>
      <c r="K179" s="82"/>
      <c r="L179" s="82"/>
      <c r="M179" s="82"/>
      <c r="N179" s="74">
        <v>10000</v>
      </c>
      <c r="O179" s="74">
        <v>10000</v>
      </c>
      <c r="P179" s="74">
        <v>10000</v>
      </c>
      <c r="Q179" s="83">
        <v>10000</v>
      </c>
      <c r="R179" s="83">
        <v>10000</v>
      </c>
      <c r="S179" s="83">
        <v>10000</v>
      </c>
    </row>
    <row r="180" spans="1:19" x14ac:dyDescent="0.25">
      <c r="A180" s="76" t="s">
        <v>2011</v>
      </c>
      <c r="B180" s="76" t="s">
        <v>1587</v>
      </c>
      <c r="C180" s="76" t="s">
        <v>1589</v>
      </c>
      <c r="D180" s="77"/>
      <c r="E180" s="77"/>
      <c r="F180" s="77" t="s">
        <v>1860</v>
      </c>
      <c r="G180" s="77"/>
      <c r="H180" s="77"/>
      <c r="I180" s="77"/>
      <c r="J180" s="77"/>
      <c r="K180" s="82"/>
      <c r="L180" s="82"/>
      <c r="M180" s="82"/>
      <c r="N180" s="74">
        <v>10000</v>
      </c>
      <c r="O180" s="74">
        <v>10000</v>
      </c>
      <c r="P180" s="74">
        <v>10000</v>
      </c>
      <c r="Q180" s="83">
        <v>10000</v>
      </c>
      <c r="R180" s="83">
        <v>10000</v>
      </c>
      <c r="S180" s="83">
        <v>10000</v>
      </c>
    </row>
    <row r="181" spans="1:19" x14ac:dyDescent="0.25">
      <c r="A181" s="76"/>
      <c r="B181" s="76"/>
      <c r="C181" s="77"/>
      <c r="D181" s="77"/>
      <c r="E181" s="77"/>
      <c r="F181" s="77"/>
      <c r="G181" s="77"/>
      <c r="H181" s="77"/>
      <c r="I181" s="77"/>
      <c r="J181" s="77"/>
      <c r="K181" s="82"/>
      <c r="L181" s="82"/>
      <c r="M181" s="82"/>
      <c r="N181" s="134"/>
      <c r="O181" s="134"/>
    </row>
    <row r="182" spans="1:19" hidden="1" x14ac:dyDescent="0.25">
      <c r="A182" s="76" t="s">
        <v>2010</v>
      </c>
      <c r="B182" s="76" t="s">
        <v>1865</v>
      </c>
      <c r="C182" s="77" t="s">
        <v>2036</v>
      </c>
      <c r="D182" s="77"/>
      <c r="E182" s="77"/>
      <c r="F182" s="77" t="s">
        <v>157</v>
      </c>
      <c r="G182" s="77"/>
      <c r="H182" s="77"/>
      <c r="I182" s="77"/>
      <c r="J182" s="77"/>
      <c r="K182" s="82"/>
      <c r="L182" s="82"/>
      <c r="M182" s="82"/>
      <c r="N182" s="83">
        <v>0</v>
      </c>
      <c r="O182" s="83">
        <v>0</v>
      </c>
      <c r="P182" s="83">
        <v>0</v>
      </c>
    </row>
    <row r="183" spans="1:19" hidden="1" x14ac:dyDescent="0.25">
      <c r="N183" s="134"/>
      <c r="O183" s="134"/>
    </row>
    <row r="184" spans="1:19" x14ac:dyDescent="0.25">
      <c r="A184" s="76" t="s">
        <v>2012</v>
      </c>
      <c r="B184" s="76" t="s">
        <v>1593</v>
      </c>
      <c r="C184" s="77" t="s">
        <v>1594</v>
      </c>
      <c r="D184" s="77" t="s">
        <v>1595</v>
      </c>
      <c r="E184" s="77" t="s">
        <v>12</v>
      </c>
      <c r="F184" s="77" t="s">
        <v>1596</v>
      </c>
      <c r="G184" s="77" t="s">
        <v>844</v>
      </c>
      <c r="H184" s="77" t="s">
        <v>295</v>
      </c>
      <c r="I184" s="77" t="s">
        <v>16</v>
      </c>
      <c r="J184" s="77" t="s">
        <v>845</v>
      </c>
      <c r="K184" s="82" t="s">
        <v>38</v>
      </c>
      <c r="L184" s="82">
        <v>3</v>
      </c>
      <c r="M184" s="82"/>
      <c r="N184" s="74">
        <v>80000</v>
      </c>
      <c r="O184" s="74">
        <v>80000</v>
      </c>
      <c r="P184" s="74">
        <v>80000</v>
      </c>
      <c r="Q184" s="74">
        <v>80000</v>
      </c>
      <c r="R184" s="74">
        <v>80000</v>
      </c>
      <c r="S184" s="74">
        <v>80000</v>
      </c>
    </row>
    <row r="185" spans="1:19" x14ac:dyDescent="0.25">
      <c r="A185" s="76"/>
      <c r="B185" s="76"/>
      <c r="C185" s="77"/>
      <c r="D185" s="77"/>
      <c r="E185" s="77"/>
      <c r="F185" s="77"/>
      <c r="G185" s="77"/>
      <c r="H185" s="77"/>
      <c r="I185" s="77"/>
      <c r="J185" s="77"/>
      <c r="K185" s="82"/>
      <c r="L185" s="82"/>
      <c r="M185" s="82"/>
      <c r="N185" s="134"/>
      <c r="O185" s="134"/>
    </row>
    <row r="186" spans="1:19" s="107" customFormat="1" x14ac:dyDescent="0.25">
      <c r="A186" s="50" t="s">
        <v>2013</v>
      </c>
      <c r="B186" s="50" t="s">
        <v>1689</v>
      </c>
      <c r="C186" s="50" t="s">
        <v>2185</v>
      </c>
      <c r="D186" s="52"/>
      <c r="E186" s="52"/>
      <c r="F186" s="52" t="s">
        <v>13</v>
      </c>
      <c r="G186" s="52"/>
      <c r="H186" s="52"/>
      <c r="I186" s="52"/>
      <c r="J186" s="52"/>
      <c r="K186" s="104"/>
      <c r="L186" s="104"/>
      <c r="M186" s="104"/>
      <c r="N186" s="105">
        <v>30000</v>
      </c>
      <c r="O186" s="105">
        <v>0</v>
      </c>
      <c r="P186" s="105">
        <v>0</v>
      </c>
      <c r="Q186" s="114">
        <v>30000</v>
      </c>
      <c r="R186" s="114">
        <v>30000</v>
      </c>
      <c r="S186" s="114">
        <v>30000</v>
      </c>
    </row>
    <row r="187" spans="1:19" s="107" customFormat="1" x14ac:dyDescent="0.25">
      <c r="A187" s="50" t="s">
        <v>2013</v>
      </c>
      <c r="B187" s="50" t="s">
        <v>1689</v>
      </c>
      <c r="C187" s="50" t="s">
        <v>1942</v>
      </c>
      <c r="D187" s="52"/>
      <c r="E187" s="52"/>
      <c r="F187" s="52" t="s">
        <v>1853</v>
      </c>
      <c r="G187" s="52"/>
      <c r="H187" s="52"/>
      <c r="I187" s="52"/>
      <c r="J187" s="52"/>
      <c r="K187" s="104"/>
      <c r="L187" s="104"/>
      <c r="M187" s="104"/>
      <c r="N187" s="105">
        <v>10000</v>
      </c>
      <c r="O187" s="105">
        <v>0</v>
      </c>
      <c r="P187" s="105">
        <v>0</v>
      </c>
      <c r="Q187" s="114">
        <v>10000</v>
      </c>
      <c r="R187" s="114">
        <v>10000</v>
      </c>
      <c r="S187" s="114">
        <v>10000</v>
      </c>
    </row>
    <row r="188" spans="1:19" x14ac:dyDescent="0.25">
      <c r="A188" s="76"/>
      <c r="B188" s="76"/>
      <c r="C188" s="77"/>
      <c r="D188" s="77"/>
      <c r="E188" s="77"/>
      <c r="F188" s="77"/>
      <c r="G188" s="77"/>
      <c r="H188" s="77"/>
      <c r="I188" s="77"/>
      <c r="J188" s="77"/>
      <c r="K188" s="82"/>
      <c r="L188" s="82"/>
      <c r="M188" s="82"/>
      <c r="N188" s="75"/>
      <c r="O188" s="75"/>
      <c r="P188" s="75"/>
      <c r="Q188" s="83"/>
      <c r="R188" s="83"/>
      <c r="S188" s="83"/>
    </row>
    <row r="189" spans="1:19" s="107" customFormat="1" x14ac:dyDescent="0.25">
      <c r="A189" s="50" t="s">
        <v>2014</v>
      </c>
      <c r="B189" s="50" t="s">
        <v>1690</v>
      </c>
      <c r="C189" s="50" t="s">
        <v>1765</v>
      </c>
      <c r="D189" s="52"/>
      <c r="E189" s="52"/>
      <c r="F189" s="52" t="s">
        <v>13</v>
      </c>
      <c r="G189" s="52"/>
      <c r="H189" s="52"/>
      <c r="I189" s="52"/>
      <c r="J189" s="52"/>
      <c r="K189" s="104"/>
      <c r="L189" s="104"/>
      <c r="M189" s="104"/>
      <c r="N189" s="105">
        <v>20000</v>
      </c>
      <c r="O189" s="105">
        <v>35000</v>
      </c>
      <c r="P189" s="105">
        <v>35000</v>
      </c>
      <c r="Q189" s="114">
        <v>35000</v>
      </c>
      <c r="R189" s="114">
        <v>35000</v>
      </c>
      <c r="S189" s="114">
        <v>35000</v>
      </c>
    </row>
    <row r="190" spans="1:19" s="107" customFormat="1" x14ac:dyDescent="0.25">
      <c r="A190" s="50" t="s">
        <v>2014</v>
      </c>
      <c r="B190" s="50" t="s">
        <v>1690</v>
      </c>
      <c r="C190" s="50" t="s">
        <v>1943</v>
      </c>
      <c r="D190" s="52"/>
      <c r="E190" s="52"/>
      <c r="F190" s="52" t="s">
        <v>1854</v>
      </c>
      <c r="G190" s="52"/>
      <c r="H190" s="52"/>
      <c r="I190" s="52"/>
      <c r="J190" s="52"/>
      <c r="K190" s="104"/>
      <c r="L190" s="104"/>
      <c r="M190" s="104"/>
      <c r="N190" s="105">
        <v>40000</v>
      </c>
      <c r="O190" s="105">
        <v>45000</v>
      </c>
      <c r="P190" s="105">
        <v>45000</v>
      </c>
      <c r="Q190" s="114">
        <v>45000</v>
      </c>
      <c r="R190" s="114">
        <v>45000</v>
      </c>
      <c r="S190" s="114">
        <v>45000</v>
      </c>
    </row>
    <row r="191" spans="1:19" x14ac:dyDescent="0.25">
      <c r="A191" s="76"/>
      <c r="B191" s="76"/>
      <c r="C191" s="76"/>
      <c r="D191" s="77"/>
      <c r="E191" s="77"/>
      <c r="F191" s="77"/>
      <c r="G191" s="77"/>
      <c r="H191" s="77"/>
      <c r="I191" s="77"/>
      <c r="J191" s="77"/>
      <c r="K191" s="82"/>
      <c r="L191" s="82"/>
      <c r="M191" s="82"/>
      <c r="N191" s="134"/>
      <c r="O191" s="134"/>
      <c r="Q191" s="83"/>
      <c r="R191" s="83"/>
      <c r="S191" s="83"/>
    </row>
    <row r="192" spans="1:19" s="107" customFormat="1" x14ac:dyDescent="0.25">
      <c r="A192" s="50" t="s">
        <v>1518</v>
      </c>
      <c r="B192" s="50" t="s">
        <v>1855</v>
      </c>
      <c r="C192" s="50" t="s">
        <v>1520</v>
      </c>
      <c r="D192" s="52"/>
      <c r="E192" s="52"/>
      <c r="F192" s="52" t="s">
        <v>1832</v>
      </c>
      <c r="G192" s="52"/>
      <c r="H192" s="52"/>
      <c r="I192" s="52"/>
      <c r="J192" s="52"/>
      <c r="K192" s="104"/>
      <c r="L192" s="104"/>
      <c r="M192" s="104"/>
      <c r="N192" s="105">
        <v>8000</v>
      </c>
      <c r="O192" s="105">
        <v>0</v>
      </c>
      <c r="P192" s="105">
        <v>0</v>
      </c>
      <c r="Q192" s="114">
        <v>8000</v>
      </c>
      <c r="R192" s="114">
        <v>8000</v>
      </c>
      <c r="S192" s="114">
        <v>8000</v>
      </c>
    </row>
    <row r="193" spans="1:19" s="107" customFormat="1" x14ac:dyDescent="0.25">
      <c r="A193" s="50" t="s">
        <v>1518</v>
      </c>
      <c r="B193" s="50" t="s">
        <v>1855</v>
      </c>
      <c r="C193" s="50" t="s">
        <v>1529</v>
      </c>
      <c r="D193" s="52"/>
      <c r="E193" s="52"/>
      <c r="F193" s="52" t="s">
        <v>1857</v>
      </c>
      <c r="G193" s="52"/>
      <c r="H193" s="52"/>
      <c r="I193" s="52"/>
      <c r="J193" s="52"/>
      <c r="K193" s="104"/>
      <c r="L193" s="104"/>
      <c r="M193" s="104"/>
      <c r="N193" s="105">
        <v>8000</v>
      </c>
      <c r="O193" s="105">
        <v>0</v>
      </c>
      <c r="P193" s="105">
        <v>0</v>
      </c>
      <c r="Q193" s="114">
        <v>8000</v>
      </c>
      <c r="R193" s="114">
        <v>8000</v>
      </c>
      <c r="S193" s="114">
        <v>8000</v>
      </c>
    </row>
    <row r="194" spans="1:19" s="107" customFormat="1" x14ac:dyDescent="0.25">
      <c r="A194" s="50" t="s">
        <v>1518</v>
      </c>
      <c r="B194" s="50" t="s">
        <v>1855</v>
      </c>
      <c r="C194" s="50" t="s">
        <v>1525</v>
      </c>
      <c r="D194" s="52"/>
      <c r="E194" s="52"/>
      <c r="F194" s="52" t="s">
        <v>26</v>
      </c>
      <c r="G194" s="52"/>
      <c r="H194" s="52"/>
      <c r="I194" s="52"/>
      <c r="J194" s="52"/>
      <c r="K194" s="104"/>
      <c r="L194" s="104"/>
      <c r="M194" s="104"/>
      <c r="N194" s="105">
        <v>2000</v>
      </c>
      <c r="O194" s="105">
        <v>0</v>
      </c>
      <c r="P194" s="105">
        <v>0</v>
      </c>
      <c r="Q194" s="114">
        <v>2000</v>
      </c>
      <c r="R194" s="114">
        <v>2000</v>
      </c>
      <c r="S194" s="114">
        <v>2000</v>
      </c>
    </row>
    <row r="195" spans="1:19" s="107" customFormat="1" x14ac:dyDescent="0.25">
      <c r="A195" s="50" t="s">
        <v>1518</v>
      </c>
      <c r="B195" s="50" t="s">
        <v>1855</v>
      </c>
      <c r="C195" s="50" t="s">
        <v>1528</v>
      </c>
      <c r="D195" s="52"/>
      <c r="E195" s="52"/>
      <c r="F195" s="52" t="s">
        <v>1856</v>
      </c>
      <c r="G195" s="52"/>
      <c r="H195" s="52"/>
      <c r="I195" s="52"/>
      <c r="J195" s="52"/>
      <c r="K195" s="104"/>
      <c r="L195" s="104"/>
      <c r="M195" s="104"/>
      <c r="N195" s="105">
        <v>60000</v>
      </c>
      <c r="O195" s="105">
        <v>0</v>
      </c>
      <c r="P195" s="105">
        <v>0</v>
      </c>
      <c r="Q195" s="114">
        <v>60000</v>
      </c>
      <c r="R195" s="114">
        <v>60000</v>
      </c>
      <c r="S195" s="114">
        <v>60000</v>
      </c>
    </row>
    <row r="196" spans="1:19" x14ac:dyDescent="0.25">
      <c r="A196" s="76"/>
      <c r="B196" s="76"/>
      <c r="C196" s="76"/>
      <c r="D196" s="77"/>
      <c r="E196" s="77"/>
      <c r="F196" s="77"/>
      <c r="G196" s="77"/>
      <c r="H196" s="77"/>
      <c r="I196" s="77"/>
      <c r="J196" s="77"/>
      <c r="K196" s="82"/>
      <c r="L196" s="82"/>
      <c r="M196" s="82"/>
      <c r="N196" s="75"/>
      <c r="O196" s="75"/>
      <c r="P196" s="75"/>
      <c r="Q196" s="83"/>
      <c r="R196" s="83"/>
      <c r="S196" s="83"/>
    </row>
    <row r="197" spans="1:19" x14ac:dyDescent="0.25">
      <c r="A197" s="76" t="s">
        <v>1944</v>
      </c>
      <c r="B197" s="77" t="s">
        <v>1835</v>
      </c>
      <c r="C197" s="76" t="s">
        <v>1945</v>
      </c>
      <c r="D197" s="77"/>
      <c r="E197" s="77"/>
      <c r="F197" s="77" t="s">
        <v>1835</v>
      </c>
      <c r="G197" s="77"/>
      <c r="H197" s="77"/>
      <c r="I197" s="77"/>
      <c r="J197" s="77"/>
      <c r="K197" s="82"/>
      <c r="L197" s="82"/>
      <c r="M197" s="82"/>
      <c r="N197" s="74">
        <v>20000</v>
      </c>
      <c r="O197" s="74">
        <v>40000</v>
      </c>
      <c r="P197" s="74">
        <v>40000</v>
      </c>
      <c r="Q197" s="83">
        <v>20000</v>
      </c>
      <c r="R197" s="83">
        <v>20000</v>
      </c>
      <c r="S197" s="83">
        <v>20000</v>
      </c>
    </row>
    <row r="198" spans="1:19" s="134" customFormat="1" x14ac:dyDescent="0.25">
      <c r="A198" s="132"/>
      <c r="B198" s="133"/>
      <c r="C198" s="132"/>
      <c r="D198" s="133"/>
      <c r="E198" s="133"/>
      <c r="F198" s="133"/>
      <c r="G198" s="133"/>
      <c r="H198" s="133"/>
      <c r="I198" s="133"/>
      <c r="J198" s="133"/>
      <c r="K198" s="82"/>
      <c r="L198" s="82"/>
      <c r="M198" s="82"/>
      <c r="N198" s="137"/>
      <c r="O198" s="74"/>
      <c r="P198" s="74"/>
    </row>
    <row r="199" spans="1:19" hidden="1" x14ac:dyDescent="0.25"/>
    <row r="200" spans="1:19" x14ac:dyDescent="0.25">
      <c r="A200" s="89" t="s">
        <v>2015</v>
      </c>
      <c r="N200" s="75">
        <f t="shared" ref="N200:S200" si="0">SUM(N5:N199)</f>
        <v>32420000</v>
      </c>
      <c r="O200" s="75">
        <f t="shared" si="0"/>
        <v>32462000</v>
      </c>
      <c r="P200" s="75">
        <f t="shared" si="0"/>
        <v>32462000</v>
      </c>
      <c r="Q200" s="75">
        <f t="shared" si="0"/>
        <v>32728000</v>
      </c>
      <c r="R200" s="75">
        <f t="shared" si="0"/>
        <v>29746000</v>
      </c>
      <c r="S200" s="75">
        <f t="shared" si="0"/>
        <v>31640000</v>
      </c>
    </row>
    <row r="207" spans="1:19" x14ac:dyDescent="0.25">
      <c r="F207" s="79"/>
    </row>
    <row r="208" spans="1:19" x14ac:dyDescent="0.25">
      <c r="F208" s="79"/>
    </row>
    <row r="209" spans="6:6" x14ac:dyDescent="0.25">
      <c r="F209" s="90"/>
    </row>
  </sheetData>
  <autoFilter ref="A1:O209" xr:uid="{F1E52C0F-FEF0-408C-BB58-65A8648BD2D1}"/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55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6" style="35" customWidth="1"/>
    <col min="2" max="3" width="0" style="35" hidden="1" customWidth="1"/>
    <col min="4" max="4" width="38.375" style="35" bestFit="1" customWidth="1"/>
    <col min="5" max="11" width="9.125" style="35" hidden="1" customWidth="1"/>
    <col min="12" max="12" width="14.25" style="54" bestFit="1" customWidth="1"/>
    <col min="13" max="13" width="13.75" style="35" bestFit="1" customWidth="1"/>
    <col min="14" max="17" width="13.75" style="171" customWidth="1"/>
    <col min="18" max="18" width="9.125" style="35"/>
    <col min="19" max="19" width="13.75" style="37" bestFit="1" customWidth="1"/>
    <col min="20" max="16384" width="9.125" style="35"/>
  </cols>
  <sheetData>
    <row r="1" spans="1:19" ht="15.75" x14ac:dyDescent="0.25">
      <c r="A1" s="46" t="s">
        <v>1597</v>
      </c>
      <c r="B1" s="46"/>
      <c r="C1" s="46"/>
      <c r="D1" s="46"/>
    </row>
    <row r="2" spans="1:19" ht="15.75" x14ac:dyDescent="0.25">
      <c r="A2" s="19" t="s">
        <v>2342</v>
      </c>
      <c r="B2" s="19"/>
      <c r="C2" s="46"/>
      <c r="D2" s="46"/>
    </row>
    <row r="3" spans="1:19" ht="15.75" x14ac:dyDescent="0.25">
      <c r="A3" s="46" t="s">
        <v>1735</v>
      </c>
      <c r="B3" s="46"/>
      <c r="C3" s="46"/>
      <c r="D3" s="46"/>
    </row>
    <row r="4" spans="1:19" ht="63.7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2063</v>
      </c>
      <c r="B5" s="31" t="s">
        <v>11</v>
      </c>
      <c r="C5" s="31" t="s">
        <v>12</v>
      </c>
      <c r="D5" s="31" t="s">
        <v>34</v>
      </c>
      <c r="E5" s="31" t="s">
        <v>716</v>
      </c>
      <c r="F5" s="31" t="s">
        <v>15</v>
      </c>
      <c r="G5" s="31" t="s">
        <v>16</v>
      </c>
      <c r="H5" s="31" t="s">
        <v>717</v>
      </c>
      <c r="I5" s="32" t="s">
        <v>18</v>
      </c>
      <c r="J5" s="32">
        <v>3</v>
      </c>
      <c r="K5" s="32"/>
      <c r="L5" s="34">
        <v>722433.75395999989</v>
      </c>
      <c r="M5" s="34">
        <v>525309.40999999992</v>
      </c>
      <c r="N5" s="34">
        <v>525309.40999999992</v>
      </c>
      <c r="O5" s="34">
        <f>S5</f>
        <v>541825.28399999999</v>
      </c>
      <c r="P5" s="34">
        <f>O5*1.044</f>
        <v>565665.59649599995</v>
      </c>
      <c r="Q5" s="34">
        <f>P5*1.045</f>
        <v>591120.54833831987</v>
      </c>
      <c r="S5" s="145">
        <f>'[1]6801SPEAKER'!$E$6</f>
        <v>541825.28399999999</v>
      </c>
    </row>
    <row r="6" spans="1:19" x14ac:dyDescent="0.25">
      <c r="A6" s="31" t="s">
        <v>2064</v>
      </c>
      <c r="B6" s="31" t="s">
        <v>11</v>
      </c>
      <c r="C6" s="31" t="s">
        <v>12</v>
      </c>
      <c r="D6" s="31" t="s">
        <v>34</v>
      </c>
      <c r="E6" s="31" t="s">
        <v>716</v>
      </c>
      <c r="F6" s="31" t="s">
        <v>15</v>
      </c>
      <c r="G6" s="31" t="s">
        <v>16</v>
      </c>
      <c r="H6" s="31" t="s">
        <v>1091</v>
      </c>
      <c r="I6" s="32" t="s">
        <v>18</v>
      </c>
      <c r="J6" s="32">
        <v>3</v>
      </c>
      <c r="K6" s="32"/>
      <c r="L6" s="34">
        <v>903041.09100000001</v>
      </c>
      <c r="M6" s="34">
        <v>679424.95</v>
      </c>
      <c r="N6" s="34">
        <v>679424.95</v>
      </c>
      <c r="O6" s="34">
        <f t="shared" ref="O6:O17" si="0">S6</f>
        <v>677280.84971999994</v>
      </c>
      <c r="P6" s="34">
        <f t="shared" ref="P6:P17" si="1">O6*1.044</f>
        <v>707081.20710767992</v>
      </c>
      <c r="Q6" s="34">
        <f t="shared" ref="Q6:Q17" si="2">P6*1.045</f>
        <v>738899.86142752541</v>
      </c>
      <c r="S6" s="145">
        <f>'[1]6803MAYORS'!$E$5</f>
        <v>677280.84971999994</v>
      </c>
    </row>
    <row r="7" spans="1:19" x14ac:dyDescent="0.25">
      <c r="A7" s="31" t="s">
        <v>1096</v>
      </c>
      <c r="B7" s="31" t="s">
        <v>11</v>
      </c>
      <c r="C7" s="31" t="s">
        <v>12</v>
      </c>
      <c r="D7" s="31" t="s">
        <v>34</v>
      </c>
      <c r="E7" s="31" t="s">
        <v>716</v>
      </c>
      <c r="F7" s="31" t="s">
        <v>15</v>
      </c>
      <c r="G7" s="31" t="s">
        <v>16</v>
      </c>
      <c r="H7" s="31" t="s">
        <v>1090</v>
      </c>
      <c r="I7" s="32" t="s">
        <v>18</v>
      </c>
      <c r="J7" s="32">
        <v>3</v>
      </c>
      <c r="K7" s="32"/>
      <c r="L7" s="34">
        <v>20360672.707800008</v>
      </c>
      <c r="M7" s="34">
        <v>14360613.250000004</v>
      </c>
      <c r="N7" s="34">
        <v>14360613.250000004</v>
      </c>
      <c r="O7" s="34">
        <f t="shared" si="0"/>
        <v>14732279.320439992</v>
      </c>
      <c r="P7" s="34">
        <f t="shared" si="1"/>
        <v>15380499.610539353</v>
      </c>
      <c r="Q7" s="34">
        <f t="shared" si="2"/>
        <v>16072622.093013622</v>
      </c>
      <c r="S7" s="145">
        <f>'[1]6805COUNCIL'!$E$62</f>
        <v>14732279.320439992</v>
      </c>
    </row>
    <row r="8" spans="1:19" x14ac:dyDescent="0.25">
      <c r="A8" s="31" t="s">
        <v>2066</v>
      </c>
      <c r="B8" s="31" t="s">
        <v>11</v>
      </c>
      <c r="C8" s="31" t="s">
        <v>12</v>
      </c>
      <c r="D8" s="31" t="s">
        <v>1089</v>
      </c>
      <c r="E8" s="31" t="s">
        <v>716</v>
      </c>
      <c r="F8" s="31" t="s">
        <v>15</v>
      </c>
      <c r="G8" s="31" t="s">
        <v>16</v>
      </c>
      <c r="H8" s="31" t="s">
        <v>717</v>
      </c>
      <c r="I8" s="32" t="s">
        <v>18</v>
      </c>
      <c r="J8" s="32">
        <v>3</v>
      </c>
      <c r="K8" s="32"/>
      <c r="L8" s="34">
        <v>172171.91999999998</v>
      </c>
      <c r="M8" s="34">
        <v>174237.97999999998</v>
      </c>
      <c r="N8" s="34">
        <v>174237.97999999998</v>
      </c>
      <c r="O8" s="34">
        <f t="shared" si="0"/>
        <v>180608.34407999998</v>
      </c>
      <c r="P8" s="34">
        <f t="shared" si="1"/>
        <v>188555.11121951998</v>
      </c>
      <c r="Q8" s="34">
        <f t="shared" si="2"/>
        <v>197040.09122439838</v>
      </c>
      <c r="S8" s="145">
        <f>'[1]6801SPEAKER'!$M$6</f>
        <v>180608.34407999998</v>
      </c>
    </row>
    <row r="9" spans="1:19" x14ac:dyDescent="0.25">
      <c r="A9" s="31" t="s">
        <v>2065</v>
      </c>
      <c r="B9" s="31" t="s">
        <v>11</v>
      </c>
      <c r="C9" s="31" t="s">
        <v>12</v>
      </c>
      <c r="D9" s="31" t="s">
        <v>1089</v>
      </c>
      <c r="E9" s="31" t="s">
        <v>716</v>
      </c>
      <c r="F9" s="31" t="s">
        <v>15</v>
      </c>
      <c r="G9" s="31" t="s">
        <v>16</v>
      </c>
      <c r="H9" s="31" t="s">
        <v>1091</v>
      </c>
      <c r="I9" s="32" t="s">
        <v>18</v>
      </c>
      <c r="J9" s="32">
        <v>3</v>
      </c>
      <c r="K9" s="32"/>
      <c r="L9" s="34">
        <v>215214.72000000003</v>
      </c>
      <c r="M9" s="34">
        <v>234824.16000000003</v>
      </c>
      <c r="N9" s="34">
        <v>234824.16000000003</v>
      </c>
      <c r="O9" s="34">
        <f t="shared" si="0"/>
        <v>225760.24127999999</v>
      </c>
      <c r="P9" s="34">
        <f t="shared" si="1"/>
        <v>235693.69189632</v>
      </c>
      <c r="Q9" s="34">
        <f t="shared" si="2"/>
        <v>246299.90803165437</v>
      </c>
      <c r="S9" s="145">
        <f>'[1]6803MAYORS'!$M$5</f>
        <v>225760.24127999999</v>
      </c>
    </row>
    <row r="10" spans="1:19" x14ac:dyDescent="0.25">
      <c r="A10" s="31" t="s">
        <v>1088</v>
      </c>
      <c r="B10" s="31" t="s">
        <v>11</v>
      </c>
      <c r="C10" s="31" t="s">
        <v>12</v>
      </c>
      <c r="D10" s="31" t="s">
        <v>1089</v>
      </c>
      <c r="E10" s="31" t="s">
        <v>716</v>
      </c>
      <c r="F10" s="31" t="s">
        <v>15</v>
      </c>
      <c r="G10" s="31" t="s">
        <v>16</v>
      </c>
      <c r="H10" s="31" t="s">
        <v>1090</v>
      </c>
      <c r="I10" s="32" t="s">
        <v>18</v>
      </c>
      <c r="J10" s="32">
        <v>3</v>
      </c>
      <c r="K10" s="32"/>
      <c r="L10" s="34">
        <v>4852396.8000000026</v>
      </c>
      <c r="M10" s="34">
        <v>4748485.2100000009</v>
      </c>
      <c r="N10" s="34">
        <v>4748485.2100000009</v>
      </c>
      <c r="O10" s="34">
        <f t="shared" si="0"/>
        <v>4914156.939000004</v>
      </c>
      <c r="P10" s="34">
        <f t="shared" si="1"/>
        <v>5130379.8443160048</v>
      </c>
      <c r="Q10" s="34">
        <f t="shared" si="2"/>
        <v>5361246.9373102244</v>
      </c>
      <c r="S10" s="145">
        <f>'[1]6805COUNCIL'!$M$62</f>
        <v>4914156.939000004</v>
      </c>
    </row>
    <row r="11" spans="1:19" x14ac:dyDescent="0.25">
      <c r="A11" s="31" t="s">
        <v>1095</v>
      </c>
      <c r="B11" s="31" t="s">
        <v>11</v>
      </c>
      <c r="C11" s="31" t="s">
        <v>12</v>
      </c>
      <c r="D11" s="31" t="s">
        <v>1093</v>
      </c>
      <c r="E11" s="31" t="s">
        <v>716</v>
      </c>
      <c r="F11" s="31" t="s">
        <v>15</v>
      </c>
      <c r="G11" s="31" t="s">
        <v>16</v>
      </c>
      <c r="H11" s="31" t="s">
        <v>717</v>
      </c>
      <c r="I11" s="32" t="s">
        <v>18</v>
      </c>
      <c r="J11" s="32">
        <v>3</v>
      </c>
      <c r="K11" s="32"/>
      <c r="L11" s="34">
        <v>44400</v>
      </c>
      <c r="M11" s="34">
        <v>44932.800000000003</v>
      </c>
      <c r="N11" s="34">
        <v>44932.800000000003</v>
      </c>
      <c r="O11" s="34">
        <f t="shared" si="0"/>
        <v>44400</v>
      </c>
      <c r="P11" s="34">
        <f t="shared" si="1"/>
        <v>46353.599999999999</v>
      </c>
      <c r="Q11" s="34">
        <f t="shared" si="2"/>
        <v>48439.511999999995</v>
      </c>
      <c r="S11" s="145">
        <f>'[1]6801SPEAKER'!$N$6+'[1]6801SPEAKER'!$O$6</f>
        <v>44400</v>
      </c>
    </row>
    <row r="12" spans="1:19" x14ac:dyDescent="0.25">
      <c r="A12" s="31" t="s">
        <v>1094</v>
      </c>
      <c r="B12" s="31" t="s">
        <v>11</v>
      </c>
      <c r="C12" s="31" t="s">
        <v>12</v>
      </c>
      <c r="D12" s="31" t="s">
        <v>1093</v>
      </c>
      <c r="E12" s="31" t="s">
        <v>716</v>
      </c>
      <c r="F12" s="31" t="s">
        <v>15</v>
      </c>
      <c r="G12" s="31" t="s">
        <v>16</v>
      </c>
      <c r="H12" s="31" t="s">
        <v>1091</v>
      </c>
      <c r="I12" s="32" t="s">
        <v>18</v>
      </c>
      <c r="J12" s="32">
        <v>3</v>
      </c>
      <c r="K12" s="32"/>
      <c r="L12" s="34">
        <v>44400</v>
      </c>
      <c r="M12" s="34">
        <v>56032.800000000003</v>
      </c>
      <c r="N12" s="34">
        <v>56032.800000000003</v>
      </c>
      <c r="O12" s="34">
        <f t="shared" si="0"/>
        <v>44400</v>
      </c>
      <c r="P12" s="34">
        <f t="shared" si="1"/>
        <v>46353.599999999999</v>
      </c>
      <c r="Q12" s="34">
        <f t="shared" si="2"/>
        <v>48439.511999999995</v>
      </c>
      <c r="S12" s="145">
        <f>'[1]6803MAYORS'!$N$5+'[1]6803MAYORS'!$O$5</f>
        <v>44400</v>
      </c>
    </row>
    <row r="13" spans="1:19" x14ac:dyDescent="0.25">
      <c r="A13" s="31" t="s">
        <v>1092</v>
      </c>
      <c r="B13" s="31" t="s">
        <v>11</v>
      </c>
      <c r="C13" s="31" t="s">
        <v>12</v>
      </c>
      <c r="D13" s="31" t="s">
        <v>1093</v>
      </c>
      <c r="E13" s="31" t="s">
        <v>716</v>
      </c>
      <c r="F13" s="31" t="s">
        <v>15</v>
      </c>
      <c r="G13" s="31" t="s">
        <v>16</v>
      </c>
      <c r="H13" s="31" t="s">
        <v>1090</v>
      </c>
      <c r="I13" s="32" t="s">
        <v>18</v>
      </c>
      <c r="J13" s="32">
        <v>3</v>
      </c>
      <c r="K13" s="32"/>
      <c r="L13" s="34">
        <v>2664000</v>
      </c>
      <c r="M13" s="34">
        <v>2661070</v>
      </c>
      <c r="N13" s="34">
        <v>2661070</v>
      </c>
      <c r="O13" s="34">
        <f t="shared" si="0"/>
        <v>2664000</v>
      </c>
      <c r="P13" s="34">
        <f t="shared" si="1"/>
        <v>2781216</v>
      </c>
      <c r="Q13" s="34">
        <f t="shared" si="2"/>
        <v>2906370.7199999997</v>
      </c>
      <c r="S13" s="145">
        <f>'[1]6805COUNCIL'!$N$62+'[1]6805COUNCIL'!$O$62</f>
        <v>2664000</v>
      </c>
    </row>
    <row r="14" spans="1:19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32"/>
      <c r="K14" s="32"/>
      <c r="L14" s="34"/>
      <c r="M14" s="34"/>
      <c r="N14" s="34"/>
      <c r="O14" s="34"/>
      <c r="P14" s="34"/>
      <c r="Q14" s="34"/>
      <c r="S14" s="145"/>
    </row>
    <row r="15" spans="1:19" x14ac:dyDescent="0.25">
      <c r="A15" s="31" t="s">
        <v>1133</v>
      </c>
      <c r="B15" s="31" t="s">
        <v>11</v>
      </c>
      <c r="C15" s="31" t="s">
        <v>12</v>
      </c>
      <c r="D15" s="31" t="s">
        <v>30</v>
      </c>
      <c r="E15" s="31" t="s">
        <v>716</v>
      </c>
      <c r="F15" s="31" t="s">
        <v>15</v>
      </c>
      <c r="G15" s="31" t="s">
        <v>16</v>
      </c>
      <c r="H15" s="31" t="s">
        <v>717</v>
      </c>
      <c r="I15" s="32" t="s">
        <v>18</v>
      </c>
      <c r="J15" s="32">
        <v>3</v>
      </c>
      <c r="K15" s="32"/>
      <c r="L15" s="34">
        <v>7224.3375395999992</v>
      </c>
      <c r="M15" s="34">
        <v>5927.3899999999994</v>
      </c>
      <c r="N15" s="34">
        <v>5927.3899999999994</v>
      </c>
      <c r="O15" s="34">
        <f t="shared" si="0"/>
        <v>5418.2528400000001</v>
      </c>
      <c r="P15" s="34">
        <f t="shared" si="1"/>
        <v>5656.6559649600003</v>
      </c>
      <c r="Q15" s="34">
        <f t="shared" si="2"/>
        <v>5911.2054833831999</v>
      </c>
      <c r="S15" s="145">
        <f>'[1]6801SPEAKER'!$R$6</f>
        <v>5418.2528400000001</v>
      </c>
    </row>
    <row r="16" spans="1:19" x14ac:dyDescent="0.25">
      <c r="A16" s="31" t="s">
        <v>1132</v>
      </c>
      <c r="B16" s="31" t="s">
        <v>11</v>
      </c>
      <c r="C16" s="31" t="s">
        <v>12</v>
      </c>
      <c r="D16" s="31" t="s">
        <v>30</v>
      </c>
      <c r="E16" s="31" t="s">
        <v>716</v>
      </c>
      <c r="F16" s="31" t="s">
        <v>15</v>
      </c>
      <c r="G16" s="31" t="s">
        <v>16</v>
      </c>
      <c r="H16" s="31" t="s">
        <v>1091</v>
      </c>
      <c r="I16" s="32" t="s">
        <v>18</v>
      </c>
      <c r="J16" s="32">
        <v>3</v>
      </c>
      <c r="K16" s="32"/>
      <c r="L16" s="34">
        <v>9030.4109100000005</v>
      </c>
      <c r="M16" s="34">
        <v>7384.7114000000001</v>
      </c>
      <c r="N16" s="34">
        <v>7384.7114000000001</v>
      </c>
      <c r="O16" s="34">
        <f t="shared" si="0"/>
        <v>6772.8084971999997</v>
      </c>
      <c r="P16" s="34">
        <f t="shared" si="1"/>
        <v>7070.8120710767998</v>
      </c>
      <c r="Q16" s="34">
        <f t="shared" si="2"/>
        <v>7388.998614275255</v>
      </c>
      <c r="S16" s="145">
        <f>'[1]6803MAYORS'!$R$5</f>
        <v>6772.8084971999997</v>
      </c>
    </row>
    <row r="17" spans="1:19" x14ac:dyDescent="0.25">
      <c r="A17" s="31" t="s">
        <v>1131</v>
      </c>
      <c r="B17" s="31" t="s">
        <v>11</v>
      </c>
      <c r="C17" s="31" t="s">
        <v>12</v>
      </c>
      <c r="D17" s="31" t="s">
        <v>30</v>
      </c>
      <c r="E17" s="31" t="s">
        <v>716</v>
      </c>
      <c r="F17" s="31" t="s">
        <v>15</v>
      </c>
      <c r="G17" s="31" t="s">
        <v>16</v>
      </c>
      <c r="H17" s="31" t="s">
        <v>1090</v>
      </c>
      <c r="I17" s="32" t="s">
        <v>18</v>
      </c>
      <c r="J17" s="32">
        <v>3</v>
      </c>
      <c r="K17" s="32"/>
      <c r="L17" s="34">
        <v>203606.72707800026</v>
      </c>
      <c r="M17" s="34">
        <v>165180.56780000008</v>
      </c>
      <c r="N17" s="34">
        <v>165180.56780000008</v>
      </c>
      <c r="O17" s="34">
        <f t="shared" si="0"/>
        <v>147322.79320439999</v>
      </c>
      <c r="P17" s="34">
        <f t="shared" si="1"/>
        <v>153804.9961053936</v>
      </c>
      <c r="Q17" s="34">
        <f t="shared" si="2"/>
        <v>160726.2209301363</v>
      </c>
      <c r="S17" s="145">
        <f>'[1]6805COUNCIL'!$R$62</f>
        <v>147322.79320439999</v>
      </c>
    </row>
    <row r="18" spans="1:19" x14ac:dyDescent="0.25">
      <c r="A18" s="31" t="s">
        <v>1134</v>
      </c>
      <c r="B18" s="31" t="s">
        <v>11</v>
      </c>
      <c r="C18" s="31" t="s">
        <v>12</v>
      </c>
      <c r="D18" s="31" t="s">
        <v>1634</v>
      </c>
      <c r="E18" s="31" t="s">
        <v>716</v>
      </c>
      <c r="F18" s="31" t="s">
        <v>292</v>
      </c>
      <c r="G18" s="31" t="s">
        <v>16</v>
      </c>
      <c r="H18" s="31" t="s">
        <v>717</v>
      </c>
      <c r="I18" s="32" t="s">
        <v>18</v>
      </c>
      <c r="J18" s="32">
        <v>3</v>
      </c>
      <c r="K18" s="32"/>
      <c r="L18" s="43">
        <v>20000</v>
      </c>
      <c r="M18" s="43">
        <v>15000</v>
      </c>
      <c r="N18" s="43">
        <v>15000</v>
      </c>
      <c r="O18" s="43">
        <v>20000</v>
      </c>
      <c r="P18" s="43">
        <v>21000</v>
      </c>
      <c r="Q18" s="43">
        <v>23000</v>
      </c>
    </row>
    <row r="19" spans="1:19" x14ac:dyDescent="0.25">
      <c r="A19" s="31" t="s">
        <v>1189</v>
      </c>
      <c r="B19" s="31" t="s">
        <v>11</v>
      </c>
      <c r="C19" s="31" t="s">
        <v>12</v>
      </c>
      <c r="D19" s="31" t="s">
        <v>1634</v>
      </c>
      <c r="E19" s="31" t="s">
        <v>716</v>
      </c>
      <c r="F19" s="31" t="s">
        <v>15</v>
      </c>
      <c r="G19" s="31" t="s">
        <v>16</v>
      </c>
      <c r="H19" s="31" t="s">
        <v>717</v>
      </c>
      <c r="I19" s="32" t="s">
        <v>18</v>
      </c>
      <c r="J19" s="32">
        <v>3</v>
      </c>
      <c r="K19" s="32"/>
      <c r="L19" s="43">
        <v>30000</v>
      </c>
      <c r="M19" s="43">
        <v>25000</v>
      </c>
      <c r="N19" s="43">
        <v>25000</v>
      </c>
      <c r="O19" s="43">
        <v>20000</v>
      </c>
      <c r="P19" s="43">
        <v>21000</v>
      </c>
      <c r="Q19" s="43">
        <v>23000</v>
      </c>
    </row>
    <row r="20" spans="1:19" hidden="1" x14ac:dyDescent="0.25">
      <c r="A20" s="31" t="s">
        <v>1097</v>
      </c>
      <c r="B20" s="31" t="s">
        <v>1098</v>
      </c>
      <c r="C20" s="31" t="s">
        <v>12</v>
      </c>
      <c r="D20" s="31" t="s">
        <v>1633</v>
      </c>
      <c r="E20" s="31" t="s">
        <v>716</v>
      </c>
      <c r="F20" s="31" t="s">
        <v>292</v>
      </c>
      <c r="G20" s="31" t="s">
        <v>16</v>
      </c>
      <c r="H20" s="31" t="s">
        <v>1091</v>
      </c>
      <c r="I20" s="32" t="s">
        <v>18</v>
      </c>
      <c r="J20" s="32">
        <v>3</v>
      </c>
      <c r="K20" s="32"/>
      <c r="L20" s="43"/>
      <c r="M20" s="43"/>
      <c r="N20" s="43"/>
      <c r="O20" s="43"/>
      <c r="P20" s="43"/>
      <c r="Q20" s="43"/>
    </row>
    <row r="21" spans="1:19" hidden="1" x14ac:dyDescent="0.25">
      <c r="A21" s="31" t="s">
        <v>1099</v>
      </c>
      <c r="B21" s="31" t="s">
        <v>1100</v>
      </c>
      <c r="C21" s="31" t="s">
        <v>12</v>
      </c>
      <c r="D21" s="31" t="s">
        <v>1633</v>
      </c>
      <c r="E21" s="31" t="s">
        <v>716</v>
      </c>
      <c r="F21" s="31" t="s">
        <v>292</v>
      </c>
      <c r="G21" s="31" t="s">
        <v>16</v>
      </c>
      <c r="H21" s="31" t="s">
        <v>1091</v>
      </c>
      <c r="I21" s="32" t="s">
        <v>18</v>
      </c>
      <c r="J21" s="32">
        <v>3</v>
      </c>
      <c r="K21" s="32"/>
      <c r="L21" s="43"/>
      <c r="M21" s="43"/>
      <c r="N21" s="43"/>
      <c r="O21" s="43"/>
      <c r="P21" s="43"/>
      <c r="Q21" s="43"/>
    </row>
    <row r="22" spans="1:19" x14ac:dyDescent="0.25">
      <c r="A22" s="31" t="s">
        <v>1128</v>
      </c>
      <c r="B22" s="31" t="s">
        <v>11</v>
      </c>
      <c r="C22" s="31" t="s">
        <v>12</v>
      </c>
      <c r="D22" s="31" t="s">
        <v>1632</v>
      </c>
      <c r="E22" s="31" t="s">
        <v>716</v>
      </c>
      <c r="F22" s="31" t="s">
        <v>15</v>
      </c>
      <c r="G22" s="31" t="s">
        <v>16</v>
      </c>
      <c r="H22" s="31" t="s">
        <v>717</v>
      </c>
      <c r="I22" s="32" t="s">
        <v>18</v>
      </c>
      <c r="J22" s="32">
        <v>3</v>
      </c>
      <c r="K22" s="32"/>
      <c r="L22" s="43">
        <v>50000</v>
      </c>
      <c r="M22" s="43">
        <v>40000</v>
      </c>
      <c r="N22" s="43">
        <v>40000</v>
      </c>
      <c r="O22" s="43">
        <v>60000</v>
      </c>
      <c r="P22" s="43">
        <v>70000</v>
      </c>
      <c r="Q22" s="43">
        <v>72000</v>
      </c>
    </row>
    <row r="23" spans="1:19" x14ac:dyDescent="0.25">
      <c r="A23" s="31" t="s">
        <v>1127</v>
      </c>
      <c r="B23" s="31" t="s">
        <v>11</v>
      </c>
      <c r="C23" s="31" t="s">
        <v>12</v>
      </c>
      <c r="D23" s="31" t="s">
        <v>1632</v>
      </c>
      <c r="E23" s="31" t="s">
        <v>716</v>
      </c>
      <c r="F23" s="31" t="s">
        <v>15</v>
      </c>
      <c r="G23" s="31" t="s">
        <v>16</v>
      </c>
      <c r="H23" s="31" t="s">
        <v>1091</v>
      </c>
      <c r="I23" s="32" t="s">
        <v>18</v>
      </c>
      <c r="J23" s="32">
        <v>3</v>
      </c>
      <c r="K23" s="32"/>
      <c r="L23" s="43">
        <v>50000</v>
      </c>
      <c r="M23" s="43">
        <v>40000</v>
      </c>
      <c r="N23" s="43">
        <v>40000</v>
      </c>
      <c r="O23" s="43">
        <v>60000</v>
      </c>
      <c r="P23" s="43">
        <v>70000</v>
      </c>
      <c r="Q23" s="43">
        <v>72000</v>
      </c>
    </row>
    <row r="24" spans="1:19" x14ac:dyDescent="0.25">
      <c r="A24" s="31" t="s">
        <v>1126</v>
      </c>
      <c r="B24" s="31" t="s">
        <v>11</v>
      </c>
      <c r="C24" s="31" t="s">
        <v>12</v>
      </c>
      <c r="D24" s="31" t="s">
        <v>1632</v>
      </c>
      <c r="E24" s="31" t="s">
        <v>716</v>
      </c>
      <c r="F24" s="31" t="s">
        <v>15</v>
      </c>
      <c r="G24" s="31" t="s">
        <v>16</v>
      </c>
      <c r="H24" s="31" t="s">
        <v>1090</v>
      </c>
      <c r="I24" s="32" t="s">
        <v>18</v>
      </c>
      <c r="J24" s="32">
        <v>3</v>
      </c>
      <c r="K24" s="32"/>
      <c r="L24" s="43">
        <v>200000</v>
      </c>
      <c r="M24" s="43">
        <v>200000</v>
      </c>
      <c r="N24" s="43">
        <v>200000</v>
      </c>
      <c r="O24" s="43">
        <v>300000</v>
      </c>
      <c r="P24" s="43">
        <v>300000</v>
      </c>
      <c r="Q24" s="43">
        <v>310000</v>
      </c>
    </row>
    <row r="25" spans="1:19" x14ac:dyDescent="0.25">
      <c r="A25" s="31" t="s">
        <v>1109</v>
      </c>
      <c r="B25" s="31" t="s">
        <v>11</v>
      </c>
      <c r="C25" s="31" t="s">
        <v>12</v>
      </c>
      <c r="D25" s="31" t="s">
        <v>20</v>
      </c>
      <c r="E25" s="31" t="s">
        <v>716</v>
      </c>
      <c r="F25" s="31" t="s">
        <v>15</v>
      </c>
      <c r="G25" s="31" t="s">
        <v>16</v>
      </c>
      <c r="H25" s="31" t="s">
        <v>717</v>
      </c>
      <c r="I25" s="32" t="s">
        <v>18</v>
      </c>
      <c r="J25" s="32">
        <v>3</v>
      </c>
      <c r="K25" s="32"/>
      <c r="L25" s="43">
        <v>4000</v>
      </c>
      <c r="M25" s="43">
        <v>4000</v>
      </c>
      <c r="N25" s="43">
        <v>4000</v>
      </c>
      <c r="O25" s="43">
        <v>5000</v>
      </c>
      <c r="P25" s="43">
        <v>6000</v>
      </c>
      <c r="Q25" s="43">
        <v>6100</v>
      </c>
    </row>
    <row r="26" spans="1:19" x14ac:dyDescent="0.25">
      <c r="A26" s="31" t="s">
        <v>1108</v>
      </c>
      <c r="B26" s="31" t="s">
        <v>11</v>
      </c>
      <c r="C26" s="31" t="s">
        <v>12</v>
      </c>
      <c r="D26" s="31" t="s">
        <v>20</v>
      </c>
      <c r="E26" s="31" t="s">
        <v>716</v>
      </c>
      <c r="F26" s="31" t="s">
        <v>15</v>
      </c>
      <c r="G26" s="31" t="s">
        <v>16</v>
      </c>
      <c r="H26" s="31" t="s">
        <v>1091</v>
      </c>
      <c r="I26" s="32" t="s">
        <v>18</v>
      </c>
      <c r="J26" s="32">
        <v>3</v>
      </c>
      <c r="K26" s="32"/>
      <c r="L26" s="43">
        <v>4000</v>
      </c>
      <c r="M26" s="43">
        <v>4000</v>
      </c>
      <c r="N26" s="43">
        <v>4000</v>
      </c>
      <c r="O26" s="43">
        <v>5000</v>
      </c>
      <c r="P26" s="43">
        <v>6000</v>
      </c>
      <c r="Q26" s="43">
        <v>6100</v>
      </c>
    </row>
    <row r="27" spans="1:19" x14ac:dyDescent="0.25">
      <c r="A27" s="31" t="s">
        <v>1107</v>
      </c>
      <c r="B27" s="31" t="s">
        <v>11</v>
      </c>
      <c r="C27" s="31" t="s">
        <v>12</v>
      </c>
      <c r="D27" s="31" t="s">
        <v>20</v>
      </c>
      <c r="E27" s="31" t="s">
        <v>716</v>
      </c>
      <c r="F27" s="31" t="s">
        <v>15</v>
      </c>
      <c r="G27" s="31" t="s">
        <v>16</v>
      </c>
      <c r="H27" s="31" t="s">
        <v>1090</v>
      </c>
      <c r="I27" s="32" t="s">
        <v>18</v>
      </c>
      <c r="J27" s="32">
        <v>3</v>
      </c>
      <c r="K27" s="32"/>
      <c r="L27" s="43">
        <v>40000</v>
      </c>
      <c r="M27" s="43">
        <v>50000</v>
      </c>
      <c r="N27" s="43">
        <v>50000</v>
      </c>
      <c r="O27" s="43">
        <v>70000</v>
      </c>
      <c r="P27" s="43">
        <v>80000</v>
      </c>
      <c r="Q27" s="43">
        <v>82000</v>
      </c>
    </row>
    <row r="28" spans="1:19" x14ac:dyDescent="0.25">
      <c r="A28" s="31" t="s">
        <v>1103</v>
      </c>
      <c r="B28" s="31" t="s">
        <v>11</v>
      </c>
      <c r="C28" s="31" t="s">
        <v>12</v>
      </c>
      <c r="D28" s="31" t="s">
        <v>24</v>
      </c>
      <c r="E28" s="31" t="s">
        <v>716</v>
      </c>
      <c r="F28" s="31" t="s">
        <v>15</v>
      </c>
      <c r="G28" s="31" t="s">
        <v>16</v>
      </c>
      <c r="H28" s="31" t="s">
        <v>717</v>
      </c>
      <c r="I28" s="32" t="s">
        <v>18</v>
      </c>
      <c r="J28" s="32">
        <v>3</v>
      </c>
      <c r="K28" s="32"/>
      <c r="L28" s="43">
        <v>4000</v>
      </c>
      <c r="M28" s="43">
        <v>4000</v>
      </c>
      <c r="N28" s="43">
        <v>4000</v>
      </c>
      <c r="O28" s="43">
        <v>5000</v>
      </c>
      <c r="P28" s="43">
        <v>6000</v>
      </c>
      <c r="Q28" s="43">
        <v>6100</v>
      </c>
    </row>
    <row r="29" spans="1:19" x14ac:dyDescent="0.25">
      <c r="A29" s="31" t="s">
        <v>1102</v>
      </c>
      <c r="B29" s="31" t="s">
        <v>11</v>
      </c>
      <c r="C29" s="31" t="s">
        <v>12</v>
      </c>
      <c r="D29" s="31" t="s">
        <v>24</v>
      </c>
      <c r="E29" s="31" t="s">
        <v>716</v>
      </c>
      <c r="F29" s="31" t="s">
        <v>15</v>
      </c>
      <c r="G29" s="31" t="s">
        <v>16</v>
      </c>
      <c r="H29" s="31" t="s">
        <v>1091</v>
      </c>
      <c r="I29" s="32" t="s">
        <v>18</v>
      </c>
      <c r="J29" s="32">
        <v>3</v>
      </c>
      <c r="K29" s="32"/>
      <c r="L29" s="43">
        <v>4000</v>
      </c>
      <c r="M29" s="43">
        <v>4000</v>
      </c>
      <c r="N29" s="43">
        <v>4000</v>
      </c>
      <c r="O29" s="43">
        <v>5000</v>
      </c>
      <c r="P29" s="43">
        <v>6000</v>
      </c>
      <c r="Q29" s="43">
        <v>6100</v>
      </c>
    </row>
    <row r="30" spans="1:19" x14ac:dyDescent="0.25">
      <c r="A30" s="31" t="s">
        <v>1101</v>
      </c>
      <c r="B30" s="31" t="s">
        <v>11</v>
      </c>
      <c r="C30" s="31" t="s">
        <v>12</v>
      </c>
      <c r="D30" s="31" t="s">
        <v>24</v>
      </c>
      <c r="E30" s="31" t="s">
        <v>716</v>
      </c>
      <c r="F30" s="31" t="s">
        <v>15</v>
      </c>
      <c r="G30" s="31" t="s">
        <v>16</v>
      </c>
      <c r="H30" s="31" t="s">
        <v>1090</v>
      </c>
      <c r="I30" s="32" t="s">
        <v>18</v>
      </c>
      <c r="J30" s="32">
        <v>3</v>
      </c>
      <c r="K30" s="32"/>
      <c r="L30" s="43">
        <v>15000</v>
      </c>
      <c r="M30" s="43">
        <v>25000</v>
      </c>
      <c r="N30" s="43">
        <v>25000</v>
      </c>
      <c r="O30" s="43">
        <v>30000</v>
      </c>
      <c r="P30" s="43">
        <v>40000</v>
      </c>
      <c r="Q30" s="43">
        <v>42000</v>
      </c>
    </row>
    <row r="31" spans="1:19" hidden="1" x14ac:dyDescent="0.25">
      <c r="A31" s="31" t="s">
        <v>1118</v>
      </c>
      <c r="B31" s="31" t="s">
        <v>11</v>
      </c>
      <c r="C31" s="31" t="s">
        <v>12</v>
      </c>
      <c r="D31" s="31" t="s">
        <v>28</v>
      </c>
      <c r="E31" s="31" t="s">
        <v>716</v>
      </c>
      <c r="F31" s="31" t="s">
        <v>15</v>
      </c>
      <c r="G31" s="31" t="s">
        <v>16</v>
      </c>
      <c r="H31" s="31" t="s">
        <v>717</v>
      </c>
      <c r="I31" s="32" t="s">
        <v>18</v>
      </c>
      <c r="J31" s="32">
        <v>3</v>
      </c>
      <c r="K31" s="32"/>
      <c r="L31" s="43"/>
      <c r="M31" s="43"/>
      <c r="N31" s="43"/>
      <c r="O31" s="43"/>
      <c r="P31" s="43"/>
      <c r="Q31" s="43"/>
    </row>
    <row r="32" spans="1:19" hidden="1" x14ac:dyDescent="0.25">
      <c r="A32" s="31" t="s">
        <v>1117</v>
      </c>
      <c r="B32" s="31" t="s">
        <v>11</v>
      </c>
      <c r="C32" s="31" t="s">
        <v>12</v>
      </c>
      <c r="D32" s="31" t="s">
        <v>28</v>
      </c>
      <c r="E32" s="31" t="s">
        <v>716</v>
      </c>
      <c r="F32" s="31" t="s">
        <v>37</v>
      </c>
      <c r="G32" s="31" t="s">
        <v>16</v>
      </c>
      <c r="H32" s="31" t="s">
        <v>1091</v>
      </c>
      <c r="I32" s="32" t="s">
        <v>38</v>
      </c>
      <c r="J32" s="32">
        <v>1</v>
      </c>
      <c r="K32" s="32"/>
      <c r="L32" s="43"/>
      <c r="M32" s="43"/>
      <c r="N32" s="43"/>
      <c r="O32" s="43"/>
      <c r="P32" s="43"/>
      <c r="Q32" s="43"/>
    </row>
    <row r="33" spans="1:17" x14ac:dyDescent="0.25">
      <c r="A33" s="31" t="s">
        <v>1116</v>
      </c>
      <c r="B33" s="31" t="s">
        <v>11</v>
      </c>
      <c r="C33" s="31" t="s">
        <v>12</v>
      </c>
      <c r="D33" s="31" t="s">
        <v>28</v>
      </c>
      <c r="E33" s="31" t="s">
        <v>716</v>
      </c>
      <c r="F33" s="31" t="s">
        <v>15</v>
      </c>
      <c r="G33" s="31" t="s">
        <v>16</v>
      </c>
      <c r="H33" s="31" t="s">
        <v>1090</v>
      </c>
      <c r="I33" s="32" t="s">
        <v>18</v>
      </c>
      <c r="J33" s="32">
        <v>3</v>
      </c>
      <c r="K33" s="32"/>
      <c r="L33" s="43">
        <v>300000</v>
      </c>
      <c r="M33" s="43">
        <v>600000</v>
      </c>
      <c r="N33" s="43">
        <v>600000</v>
      </c>
      <c r="O33" s="43">
        <v>700000</v>
      </c>
      <c r="P33" s="43">
        <v>800000</v>
      </c>
      <c r="Q33" s="43">
        <v>800000</v>
      </c>
    </row>
    <row r="34" spans="1:17" x14ac:dyDescent="0.25">
      <c r="A34" s="31" t="s">
        <v>1112</v>
      </c>
      <c r="B34" s="31" t="s">
        <v>11</v>
      </c>
      <c r="C34" s="31" t="s">
        <v>12</v>
      </c>
      <c r="D34" s="31" t="s">
        <v>13</v>
      </c>
      <c r="E34" s="31" t="s">
        <v>716</v>
      </c>
      <c r="F34" s="31" t="s">
        <v>15</v>
      </c>
      <c r="G34" s="31" t="s">
        <v>16</v>
      </c>
      <c r="H34" s="31" t="s">
        <v>717</v>
      </c>
      <c r="I34" s="32" t="s">
        <v>18</v>
      </c>
      <c r="J34" s="32">
        <v>3</v>
      </c>
      <c r="K34" s="32"/>
      <c r="L34" s="43">
        <v>15000</v>
      </c>
      <c r="M34" s="43">
        <v>20000</v>
      </c>
      <c r="N34" s="43">
        <v>20000</v>
      </c>
      <c r="O34" s="43">
        <v>30000</v>
      </c>
      <c r="P34" s="43">
        <v>40000</v>
      </c>
      <c r="Q34" s="43">
        <v>42000</v>
      </c>
    </row>
    <row r="35" spans="1:17" x14ac:dyDescent="0.25">
      <c r="A35" s="31" t="s">
        <v>1111</v>
      </c>
      <c r="B35" s="31" t="s">
        <v>11</v>
      </c>
      <c r="C35" s="31" t="s">
        <v>12</v>
      </c>
      <c r="D35" s="31" t="s">
        <v>13</v>
      </c>
      <c r="E35" s="31" t="s">
        <v>716</v>
      </c>
      <c r="F35" s="31" t="s">
        <v>15</v>
      </c>
      <c r="G35" s="31" t="s">
        <v>16</v>
      </c>
      <c r="H35" s="31" t="s">
        <v>1091</v>
      </c>
      <c r="I35" s="32" t="s">
        <v>18</v>
      </c>
      <c r="J35" s="32">
        <v>3</v>
      </c>
      <c r="K35" s="32"/>
      <c r="L35" s="43">
        <v>20000</v>
      </c>
      <c r="M35" s="43">
        <v>25000</v>
      </c>
      <c r="N35" s="43">
        <v>25000</v>
      </c>
      <c r="O35" s="43">
        <v>30000</v>
      </c>
      <c r="P35" s="43">
        <v>40000</v>
      </c>
      <c r="Q35" s="43">
        <v>42000</v>
      </c>
    </row>
    <row r="36" spans="1:17" x14ac:dyDescent="0.25">
      <c r="A36" s="31" t="s">
        <v>1110</v>
      </c>
      <c r="B36" s="31" t="s">
        <v>11</v>
      </c>
      <c r="C36" s="31" t="s">
        <v>12</v>
      </c>
      <c r="D36" s="31" t="s">
        <v>13</v>
      </c>
      <c r="E36" s="31" t="s">
        <v>716</v>
      </c>
      <c r="F36" s="31" t="s">
        <v>15</v>
      </c>
      <c r="G36" s="31" t="s">
        <v>16</v>
      </c>
      <c r="H36" s="31" t="s">
        <v>1090</v>
      </c>
      <c r="I36" s="32" t="s">
        <v>18</v>
      </c>
      <c r="J36" s="32">
        <v>3</v>
      </c>
      <c r="K36" s="32"/>
      <c r="L36" s="43">
        <v>200000</v>
      </c>
      <c r="M36" s="43">
        <v>900000</v>
      </c>
      <c r="N36" s="43">
        <v>900000</v>
      </c>
      <c r="O36" s="43">
        <v>1000000</v>
      </c>
      <c r="P36" s="43">
        <v>1100000</v>
      </c>
      <c r="Q36" s="43">
        <v>1150000</v>
      </c>
    </row>
    <row r="37" spans="1:17" x14ac:dyDescent="0.25">
      <c r="A37" s="31" t="s">
        <v>1121</v>
      </c>
      <c r="B37" s="31" t="s">
        <v>11</v>
      </c>
      <c r="C37" s="31" t="s">
        <v>12</v>
      </c>
      <c r="D37" s="31" t="s">
        <v>26</v>
      </c>
      <c r="E37" s="31" t="s">
        <v>716</v>
      </c>
      <c r="F37" s="31" t="s">
        <v>15</v>
      </c>
      <c r="G37" s="31" t="s">
        <v>16</v>
      </c>
      <c r="H37" s="31" t="s">
        <v>717</v>
      </c>
      <c r="I37" s="32" t="s">
        <v>18</v>
      </c>
      <c r="J37" s="32">
        <v>3</v>
      </c>
      <c r="K37" s="32"/>
      <c r="L37" s="43">
        <v>3000</v>
      </c>
      <c r="M37" s="43">
        <v>3000</v>
      </c>
      <c r="N37" s="43">
        <v>3000</v>
      </c>
      <c r="O37" s="43">
        <v>4000</v>
      </c>
      <c r="P37" s="43">
        <v>5000</v>
      </c>
      <c r="Q37" s="43">
        <v>5500</v>
      </c>
    </row>
    <row r="38" spans="1:17" x14ac:dyDescent="0.25">
      <c r="A38" s="31" t="s">
        <v>1120</v>
      </c>
      <c r="B38" s="31" t="s">
        <v>11</v>
      </c>
      <c r="C38" s="31" t="s">
        <v>12</v>
      </c>
      <c r="D38" s="31" t="s">
        <v>26</v>
      </c>
      <c r="E38" s="31" t="s">
        <v>716</v>
      </c>
      <c r="F38" s="31" t="s">
        <v>15</v>
      </c>
      <c r="G38" s="31" t="s">
        <v>16</v>
      </c>
      <c r="H38" s="31" t="s">
        <v>1091</v>
      </c>
      <c r="I38" s="32" t="s">
        <v>18</v>
      </c>
      <c r="J38" s="32">
        <v>3</v>
      </c>
      <c r="K38" s="32"/>
      <c r="L38" s="43">
        <v>3000</v>
      </c>
      <c r="M38" s="43">
        <v>3000</v>
      </c>
      <c r="N38" s="43">
        <v>3000</v>
      </c>
      <c r="O38" s="43">
        <v>4000</v>
      </c>
      <c r="P38" s="43">
        <v>5000</v>
      </c>
      <c r="Q38" s="43">
        <v>5500</v>
      </c>
    </row>
    <row r="39" spans="1:17" x14ac:dyDescent="0.25">
      <c r="A39" s="31" t="s">
        <v>1119</v>
      </c>
      <c r="B39" s="31" t="s">
        <v>11</v>
      </c>
      <c r="C39" s="31" t="s">
        <v>12</v>
      </c>
      <c r="D39" s="31" t="s">
        <v>26</v>
      </c>
      <c r="E39" s="31" t="s">
        <v>716</v>
      </c>
      <c r="F39" s="31" t="s">
        <v>15</v>
      </c>
      <c r="G39" s="31" t="s">
        <v>16</v>
      </c>
      <c r="H39" s="31" t="s">
        <v>1090</v>
      </c>
      <c r="I39" s="32" t="s">
        <v>18</v>
      </c>
      <c r="J39" s="32">
        <v>3</v>
      </c>
      <c r="K39" s="32"/>
      <c r="L39" s="43">
        <v>15000</v>
      </c>
      <c r="M39" s="43">
        <v>15000</v>
      </c>
      <c r="N39" s="43">
        <v>15000</v>
      </c>
      <c r="O39" s="43">
        <v>20000</v>
      </c>
      <c r="P39" s="43">
        <v>30000</v>
      </c>
      <c r="Q39" s="43">
        <v>32000</v>
      </c>
    </row>
    <row r="40" spans="1:17" x14ac:dyDescent="0.25">
      <c r="A40" s="31" t="s">
        <v>1106</v>
      </c>
      <c r="B40" s="31" t="s">
        <v>11</v>
      </c>
      <c r="C40" s="31" t="s">
        <v>12</v>
      </c>
      <c r="D40" s="31" t="s">
        <v>22</v>
      </c>
      <c r="E40" s="31" t="s">
        <v>716</v>
      </c>
      <c r="F40" s="31" t="s">
        <v>15</v>
      </c>
      <c r="G40" s="31" t="s">
        <v>16</v>
      </c>
      <c r="H40" s="31" t="s">
        <v>717</v>
      </c>
      <c r="I40" s="32" t="s">
        <v>18</v>
      </c>
      <c r="J40" s="32">
        <v>3</v>
      </c>
      <c r="K40" s="32"/>
      <c r="L40" s="43">
        <v>3000</v>
      </c>
      <c r="M40" s="43">
        <v>9000</v>
      </c>
      <c r="N40" s="43">
        <v>9000</v>
      </c>
      <c r="O40" s="43">
        <v>14000</v>
      </c>
      <c r="P40" s="43">
        <v>15000</v>
      </c>
      <c r="Q40" s="43">
        <v>16000</v>
      </c>
    </row>
    <row r="41" spans="1:17" x14ac:dyDescent="0.25">
      <c r="A41" s="31" t="s">
        <v>1105</v>
      </c>
      <c r="B41" s="31" t="s">
        <v>11</v>
      </c>
      <c r="C41" s="31" t="s">
        <v>12</v>
      </c>
      <c r="D41" s="31" t="s">
        <v>22</v>
      </c>
      <c r="E41" s="31" t="s">
        <v>716</v>
      </c>
      <c r="F41" s="31" t="s">
        <v>15</v>
      </c>
      <c r="G41" s="31" t="s">
        <v>16</v>
      </c>
      <c r="H41" s="31" t="s">
        <v>1091</v>
      </c>
      <c r="I41" s="32" t="s">
        <v>18</v>
      </c>
      <c r="J41" s="32">
        <v>3</v>
      </c>
      <c r="K41" s="32"/>
      <c r="L41" s="43">
        <v>3000</v>
      </c>
      <c r="M41" s="43">
        <v>9000</v>
      </c>
      <c r="N41" s="43">
        <v>9000</v>
      </c>
      <c r="O41" s="43">
        <v>14000</v>
      </c>
      <c r="P41" s="43">
        <v>15000</v>
      </c>
      <c r="Q41" s="43">
        <v>16000</v>
      </c>
    </row>
    <row r="42" spans="1:17" x14ac:dyDescent="0.25">
      <c r="A42" s="31" t="s">
        <v>1104</v>
      </c>
      <c r="B42" s="31" t="s">
        <v>11</v>
      </c>
      <c r="C42" s="31" t="s">
        <v>12</v>
      </c>
      <c r="D42" s="31" t="s">
        <v>22</v>
      </c>
      <c r="E42" s="31" t="s">
        <v>716</v>
      </c>
      <c r="F42" s="31" t="s">
        <v>15</v>
      </c>
      <c r="G42" s="31" t="s">
        <v>16</v>
      </c>
      <c r="H42" s="31" t="s">
        <v>1090</v>
      </c>
      <c r="I42" s="32" t="s">
        <v>18</v>
      </c>
      <c r="J42" s="32">
        <v>3</v>
      </c>
      <c r="K42" s="32"/>
      <c r="L42" s="43">
        <v>50000</v>
      </c>
      <c r="M42" s="43">
        <f>250000+50000</f>
        <v>300000</v>
      </c>
      <c r="N42" s="43">
        <v>300000</v>
      </c>
      <c r="O42" s="43">
        <v>300000</v>
      </c>
      <c r="P42" s="43">
        <v>350000</v>
      </c>
      <c r="Q42" s="43">
        <v>360000</v>
      </c>
    </row>
    <row r="43" spans="1:17" x14ac:dyDescent="0.25">
      <c r="A43" s="31" t="s">
        <v>1115</v>
      </c>
      <c r="B43" s="31" t="s">
        <v>11</v>
      </c>
      <c r="C43" s="31" t="s">
        <v>12</v>
      </c>
      <c r="D43" s="31" t="s">
        <v>32</v>
      </c>
      <c r="E43" s="31" t="s">
        <v>716</v>
      </c>
      <c r="F43" s="31" t="s">
        <v>15</v>
      </c>
      <c r="G43" s="31" t="s">
        <v>16</v>
      </c>
      <c r="H43" s="31" t="s">
        <v>717</v>
      </c>
      <c r="I43" s="32" t="s">
        <v>18</v>
      </c>
      <c r="J43" s="32">
        <v>3</v>
      </c>
      <c r="K43" s="32"/>
      <c r="L43" s="43">
        <v>15000</v>
      </c>
      <c r="M43" s="43">
        <v>12000</v>
      </c>
      <c r="N43" s="43">
        <v>12000</v>
      </c>
      <c r="O43" s="43">
        <v>15000</v>
      </c>
      <c r="P43" s="43">
        <v>20000</v>
      </c>
      <c r="Q43" s="43">
        <v>22000</v>
      </c>
    </row>
    <row r="44" spans="1:17" x14ac:dyDescent="0.25">
      <c r="A44" s="31" t="s">
        <v>1114</v>
      </c>
      <c r="B44" s="31" t="s">
        <v>11</v>
      </c>
      <c r="C44" s="31" t="s">
        <v>12</v>
      </c>
      <c r="D44" s="31" t="s">
        <v>32</v>
      </c>
      <c r="E44" s="31" t="s">
        <v>716</v>
      </c>
      <c r="F44" s="31" t="s">
        <v>15</v>
      </c>
      <c r="G44" s="31" t="s">
        <v>16</v>
      </c>
      <c r="H44" s="31" t="s">
        <v>1091</v>
      </c>
      <c r="I44" s="32" t="s">
        <v>18</v>
      </c>
      <c r="J44" s="32">
        <v>3</v>
      </c>
      <c r="K44" s="32"/>
      <c r="L44" s="43">
        <v>10000</v>
      </c>
      <c r="M44" s="43">
        <v>12000</v>
      </c>
      <c r="N44" s="43">
        <v>12000</v>
      </c>
      <c r="O44" s="43">
        <v>15000</v>
      </c>
      <c r="P44" s="43">
        <v>20000</v>
      </c>
      <c r="Q44" s="43">
        <v>22000</v>
      </c>
    </row>
    <row r="45" spans="1:17" x14ac:dyDescent="0.25">
      <c r="A45" s="31" t="s">
        <v>1113</v>
      </c>
      <c r="B45" s="31" t="s">
        <v>11</v>
      </c>
      <c r="C45" s="31" t="s">
        <v>12</v>
      </c>
      <c r="D45" s="31" t="s">
        <v>32</v>
      </c>
      <c r="E45" s="31" t="s">
        <v>716</v>
      </c>
      <c r="F45" s="31" t="s">
        <v>15</v>
      </c>
      <c r="G45" s="31" t="s">
        <v>16</v>
      </c>
      <c r="H45" s="31" t="s">
        <v>1090</v>
      </c>
      <c r="I45" s="32" t="s">
        <v>18</v>
      </c>
      <c r="J45" s="32">
        <v>3</v>
      </c>
      <c r="K45" s="32"/>
      <c r="L45" s="43">
        <v>40000</v>
      </c>
      <c r="M45" s="43">
        <v>40000</v>
      </c>
      <c r="N45" s="43">
        <v>40000</v>
      </c>
      <c r="O45" s="43">
        <v>50000</v>
      </c>
      <c r="P45" s="43">
        <v>60000</v>
      </c>
      <c r="Q45" s="43">
        <v>62000</v>
      </c>
    </row>
    <row r="46" spans="1:17" x14ac:dyDescent="0.25">
      <c r="A46" s="31" t="s">
        <v>1124</v>
      </c>
      <c r="B46" s="31" t="s">
        <v>11</v>
      </c>
      <c r="C46" s="31" t="s">
        <v>12</v>
      </c>
      <c r="D46" s="31" t="s">
        <v>1125</v>
      </c>
      <c r="E46" s="31" t="s">
        <v>716</v>
      </c>
      <c r="F46" s="31" t="s">
        <v>292</v>
      </c>
      <c r="G46" s="31" t="s">
        <v>16</v>
      </c>
      <c r="H46" s="31" t="s">
        <v>717</v>
      </c>
      <c r="I46" s="32" t="s">
        <v>18</v>
      </c>
      <c r="J46" s="32">
        <v>3</v>
      </c>
      <c r="K46" s="32"/>
      <c r="L46" s="43">
        <v>5900000</v>
      </c>
      <c r="M46" s="43">
        <v>4300000</v>
      </c>
      <c r="N46" s="43">
        <v>4300000</v>
      </c>
      <c r="O46" s="43">
        <v>6000000</v>
      </c>
      <c r="P46" s="43">
        <v>6000000</v>
      </c>
      <c r="Q46" s="43">
        <v>6150000</v>
      </c>
    </row>
    <row r="47" spans="1:17" x14ac:dyDescent="0.25">
      <c r="A47" s="31" t="s">
        <v>1122</v>
      </c>
      <c r="B47" s="31" t="s">
        <v>11</v>
      </c>
      <c r="C47" s="31" t="s">
        <v>12</v>
      </c>
      <c r="D47" s="31" t="s">
        <v>1123</v>
      </c>
      <c r="E47" s="31" t="s">
        <v>716</v>
      </c>
      <c r="F47" s="31" t="s">
        <v>292</v>
      </c>
      <c r="G47" s="31" t="s">
        <v>16</v>
      </c>
      <c r="H47" s="31" t="s">
        <v>717</v>
      </c>
      <c r="I47" s="32" t="s">
        <v>18</v>
      </c>
      <c r="J47" s="32">
        <v>3</v>
      </c>
      <c r="K47" s="32"/>
      <c r="L47" s="43">
        <v>120000</v>
      </c>
      <c r="M47" s="43">
        <v>120000</v>
      </c>
      <c r="N47" s="43">
        <v>120000</v>
      </c>
      <c r="O47" s="43">
        <v>120000</v>
      </c>
      <c r="P47" s="43">
        <v>120000</v>
      </c>
      <c r="Q47" s="43">
        <v>120000</v>
      </c>
    </row>
    <row r="48" spans="1:17" x14ac:dyDescent="0.25">
      <c r="A48" s="31" t="s">
        <v>1129</v>
      </c>
      <c r="B48" s="31" t="s">
        <v>11</v>
      </c>
      <c r="C48" s="31" t="s">
        <v>12</v>
      </c>
      <c r="D48" s="31" t="s">
        <v>1130</v>
      </c>
      <c r="E48" s="31" t="s">
        <v>716</v>
      </c>
      <c r="F48" s="31" t="s">
        <v>15</v>
      </c>
      <c r="G48" s="31" t="s">
        <v>16</v>
      </c>
      <c r="H48" s="31" t="s">
        <v>1090</v>
      </c>
      <c r="I48" s="32" t="s">
        <v>18</v>
      </c>
      <c r="J48" s="32">
        <v>3</v>
      </c>
      <c r="K48" s="32"/>
      <c r="L48" s="43">
        <v>896284</v>
      </c>
      <c r="M48" s="43">
        <v>1051788</v>
      </c>
      <c r="N48" s="43">
        <v>1051788</v>
      </c>
      <c r="O48" s="43">
        <v>1000000</v>
      </c>
      <c r="P48" s="43">
        <v>1000000</v>
      </c>
      <c r="Q48" s="43">
        <v>1100000</v>
      </c>
    </row>
    <row r="49" spans="1:17" hidden="1" x14ac:dyDescent="0.25">
      <c r="A49" s="31"/>
      <c r="B49" s="31"/>
      <c r="C49" s="31"/>
      <c r="D49" s="31" t="s">
        <v>1824</v>
      </c>
      <c r="E49" s="31"/>
      <c r="F49" s="31"/>
      <c r="G49" s="31"/>
      <c r="H49" s="31"/>
      <c r="I49" s="32"/>
      <c r="J49" s="32"/>
      <c r="K49" s="32"/>
      <c r="M49" s="54"/>
      <c r="N49" s="54"/>
      <c r="O49" s="54"/>
      <c r="P49" s="54"/>
      <c r="Q49" s="54"/>
    </row>
    <row r="50" spans="1:17" hidden="1" x14ac:dyDescent="0.25">
      <c r="A50" s="31"/>
      <c r="B50" s="31"/>
      <c r="C50" s="31"/>
      <c r="D50" s="31" t="s">
        <v>1825</v>
      </c>
      <c r="E50" s="31"/>
      <c r="F50" s="31"/>
      <c r="G50" s="31"/>
      <c r="H50" s="31"/>
      <c r="I50" s="32"/>
      <c r="J50" s="32"/>
      <c r="K50" s="32"/>
    </row>
    <row r="51" spans="1:17" hidden="1" x14ac:dyDescent="0.25">
      <c r="A51" s="31"/>
      <c r="B51" s="31"/>
      <c r="C51" s="31"/>
      <c r="D51" s="31" t="s">
        <v>13</v>
      </c>
      <c r="E51" s="31"/>
      <c r="F51" s="31"/>
      <c r="G51" s="31"/>
      <c r="H51" s="31"/>
      <c r="I51" s="32"/>
      <c r="J51" s="32"/>
      <c r="K51" s="32"/>
    </row>
    <row r="52" spans="1:17" hidden="1" x14ac:dyDescent="0.25">
      <c r="A52" s="31"/>
      <c r="B52" s="31"/>
      <c r="C52" s="31"/>
      <c r="D52" s="31" t="s">
        <v>1826</v>
      </c>
      <c r="E52" s="31"/>
      <c r="F52" s="31"/>
      <c r="G52" s="31"/>
      <c r="H52" s="31"/>
      <c r="I52" s="32"/>
      <c r="J52" s="32"/>
      <c r="K52" s="32"/>
    </row>
    <row r="53" spans="1:17" hidden="1" x14ac:dyDescent="0.25">
      <c r="A53" s="31"/>
      <c r="B53" s="31"/>
      <c r="C53" s="31"/>
      <c r="D53" s="31" t="s">
        <v>1827</v>
      </c>
      <c r="E53" s="31"/>
      <c r="F53" s="31"/>
      <c r="G53" s="31"/>
      <c r="H53" s="31"/>
      <c r="I53" s="32"/>
      <c r="J53" s="32"/>
      <c r="K53" s="32"/>
    </row>
    <row r="55" spans="1:17" ht="15.75" thickBot="1" x14ac:dyDescent="0.3">
      <c r="A55" s="93" t="s">
        <v>1203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1">
        <f t="shared" ref="L55:Q55" si="3">SUM(L5:L54)</f>
        <v>38212876.46828761</v>
      </c>
      <c r="M55" s="91">
        <f t="shared" si="3"/>
        <v>31494211.229200006</v>
      </c>
      <c r="N55" s="91">
        <f t="shared" si="3"/>
        <v>31494211.229200006</v>
      </c>
      <c r="O55" s="91">
        <f>SUM(O5:O54)</f>
        <v>34080224.833061598</v>
      </c>
      <c r="P55" s="91">
        <f t="shared" si="3"/>
        <v>35494330.725716315</v>
      </c>
      <c r="Q55" s="91">
        <f t="shared" si="3"/>
        <v>36977905.608373538</v>
      </c>
    </row>
  </sheetData>
  <sortState xmlns:xlrd2="http://schemas.microsoft.com/office/spreadsheetml/2017/richdata2" ref="A2:Z44">
    <sortCondition ref="D2:D44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98"/>
  <sheetViews>
    <sheetView zoomScale="110" zoomScaleNormal="110" workbookViewId="0">
      <pane ySplit="4" topLeftCell="A5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0.75" style="92" customWidth="1"/>
    <col min="2" max="3" width="20.625" style="92" hidden="1" customWidth="1"/>
    <col min="4" max="4" width="24.125" style="92" customWidth="1"/>
    <col min="5" max="5" width="43.875" style="92" hidden="1" customWidth="1"/>
    <col min="6" max="6" width="44.375" style="92" hidden="1" customWidth="1"/>
    <col min="7" max="7" width="8.875" style="92" hidden="1" customWidth="1"/>
    <col min="8" max="8" width="31" style="92" hidden="1" customWidth="1"/>
    <col min="9" max="9" width="13" style="92" hidden="1" customWidth="1"/>
    <col min="10" max="10" width="13.375" style="92" hidden="1" customWidth="1"/>
    <col min="11" max="11" width="13.875" style="92" hidden="1" customWidth="1"/>
    <col min="12" max="12" width="12.875" style="48" bestFit="1" customWidth="1"/>
    <col min="13" max="17" width="13.75" style="92" customWidth="1"/>
    <col min="18" max="18" width="9.125" style="92" customWidth="1"/>
    <col min="19" max="19" width="12.125" style="48" bestFit="1" customWidth="1"/>
    <col min="20" max="16384" width="9.125" style="92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1736</v>
      </c>
      <c r="B3" s="72"/>
      <c r="C3" s="72"/>
      <c r="D3" s="72"/>
    </row>
    <row r="4" spans="1:19" s="35" customFormat="1" ht="63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  <c r="S4" s="37"/>
    </row>
    <row r="5" spans="1:19" x14ac:dyDescent="0.25">
      <c r="A5" s="31" t="s">
        <v>33</v>
      </c>
      <c r="B5" s="31" t="s">
        <v>11</v>
      </c>
      <c r="C5" s="31" t="s">
        <v>12</v>
      </c>
      <c r="D5" s="31" t="s">
        <v>34</v>
      </c>
      <c r="E5" s="31" t="s">
        <v>14</v>
      </c>
      <c r="F5" s="31" t="s">
        <v>15</v>
      </c>
      <c r="G5" s="31" t="s">
        <v>16</v>
      </c>
      <c r="H5" s="31" t="s">
        <v>17</v>
      </c>
      <c r="I5" s="32" t="s">
        <v>18</v>
      </c>
      <c r="J5" s="32">
        <v>3</v>
      </c>
      <c r="K5" s="32"/>
      <c r="L5" s="53">
        <v>712659.80136000004</v>
      </c>
      <c r="M5" s="53">
        <v>679370.64</v>
      </c>
      <c r="N5" s="53">
        <v>679370.64</v>
      </c>
      <c r="O5" s="53">
        <f>S5</f>
        <v>712659.80136000004</v>
      </c>
      <c r="P5" s="53">
        <f>O5*1.044</f>
        <v>744016.83261984005</v>
      </c>
      <c r="Q5" s="53">
        <f>P5*1.045</f>
        <v>777497.59008773277</v>
      </c>
      <c r="R5" s="92" t="s">
        <v>2042</v>
      </c>
      <c r="S5" s="146">
        <f>'[1]6053MM'!$E$3</f>
        <v>712659.80136000004</v>
      </c>
    </row>
    <row r="6" spans="1:19" x14ac:dyDescent="0.25">
      <c r="A6" s="31" t="s">
        <v>40</v>
      </c>
      <c r="B6" s="31" t="s">
        <v>11</v>
      </c>
      <c r="C6" s="31" t="s">
        <v>12</v>
      </c>
      <c r="D6" s="31" t="s">
        <v>41</v>
      </c>
      <c r="E6" s="31" t="s">
        <v>14</v>
      </c>
      <c r="F6" s="31" t="s">
        <v>15</v>
      </c>
      <c r="G6" s="31" t="s">
        <v>16</v>
      </c>
      <c r="H6" s="31" t="s">
        <v>17</v>
      </c>
      <c r="I6" s="32" t="s">
        <v>18</v>
      </c>
      <c r="J6" s="32">
        <v>3</v>
      </c>
      <c r="K6" s="32"/>
      <c r="L6" s="53">
        <v>33968.520000000004</v>
      </c>
      <c r="M6" s="53">
        <v>33968.520000000004</v>
      </c>
      <c r="N6" s="53">
        <v>33968.520000000004</v>
      </c>
      <c r="O6" s="53">
        <f t="shared" ref="O6:O52" si="0">S6</f>
        <v>16984.260000000002</v>
      </c>
      <c r="P6" s="53">
        <f t="shared" ref="P6:P52" si="1">O6*1.044</f>
        <v>17731.567440000003</v>
      </c>
      <c r="Q6" s="53">
        <f t="shared" ref="Q6:Q52" si="2">P6*1.045</f>
        <v>18529.487974800002</v>
      </c>
      <c r="S6" s="146">
        <f>'[1]6053MM'!$K$3</f>
        <v>16984.260000000002</v>
      </c>
    </row>
    <row r="7" spans="1:19" x14ac:dyDescent="0.25">
      <c r="A7" s="31" t="s">
        <v>46</v>
      </c>
      <c r="B7" s="31" t="s">
        <v>11</v>
      </c>
      <c r="C7" s="31" t="s">
        <v>12</v>
      </c>
      <c r="D7" s="31" t="s">
        <v>47</v>
      </c>
      <c r="E7" s="31" t="s">
        <v>14</v>
      </c>
      <c r="F7" s="31" t="s">
        <v>15</v>
      </c>
      <c r="G7" s="31" t="s">
        <v>16</v>
      </c>
      <c r="H7" s="31" t="s">
        <v>17</v>
      </c>
      <c r="I7" s="32" t="s">
        <v>18</v>
      </c>
      <c r="J7" s="32">
        <v>3</v>
      </c>
      <c r="K7" s="32"/>
      <c r="L7" s="53">
        <v>325200</v>
      </c>
      <c r="M7" s="53">
        <v>325200</v>
      </c>
      <c r="N7" s="53">
        <v>325200</v>
      </c>
      <c r="O7" s="53">
        <f t="shared" si="0"/>
        <v>341134.8</v>
      </c>
      <c r="P7" s="53">
        <f t="shared" si="1"/>
        <v>356144.73119999998</v>
      </c>
      <c r="Q7" s="53">
        <f t="shared" si="2"/>
        <v>372171.24410399998</v>
      </c>
      <c r="S7" s="146">
        <f>'[1]6053MM'!$M$3</f>
        <v>341134.8</v>
      </c>
    </row>
    <row r="8" spans="1:19" x14ac:dyDescent="0.25">
      <c r="A8" s="31" t="s">
        <v>44</v>
      </c>
      <c r="B8" s="31" t="s">
        <v>11</v>
      </c>
      <c r="C8" s="31" t="s">
        <v>12</v>
      </c>
      <c r="D8" s="31" t="s">
        <v>45</v>
      </c>
      <c r="E8" s="31" t="s">
        <v>14</v>
      </c>
      <c r="F8" s="31" t="s">
        <v>37</v>
      </c>
      <c r="G8" s="31" t="s">
        <v>16</v>
      </c>
      <c r="H8" s="31" t="s">
        <v>17</v>
      </c>
      <c r="I8" s="32" t="s">
        <v>38</v>
      </c>
      <c r="J8" s="32">
        <v>3</v>
      </c>
      <c r="K8" s="32"/>
      <c r="L8" s="53">
        <v>16800</v>
      </c>
      <c r="M8" s="53">
        <v>16800</v>
      </c>
      <c r="N8" s="53">
        <v>16800</v>
      </c>
      <c r="O8" s="53">
        <f t="shared" si="0"/>
        <v>17623.199999999997</v>
      </c>
      <c r="P8" s="53">
        <f t="shared" si="1"/>
        <v>18398.620799999997</v>
      </c>
      <c r="Q8" s="53">
        <f t="shared" si="2"/>
        <v>19226.558735999995</v>
      </c>
      <c r="S8" s="146">
        <f>'[1]6053MM'!$N$3</f>
        <v>17623.199999999997</v>
      </c>
    </row>
    <row r="9" spans="1:19" x14ac:dyDescent="0.25">
      <c r="A9" s="31" t="s">
        <v>42</v>
      </c>
      <c r="B9" s="31" t="s">
        <v>11</v>
      </c>
      <c r="C9" s="31" t="s">
        <v>12</v>
      </c>
      <c r="D9" s="31" t="s">
        <v>43</v>
      </c>
      <c r="E9" s="31" t="s">
        <v>14</v>
      </c>
      <c r="F9" s="31" t="s">
        <v>15</v>
      </c>
      <c r="G9" s="31" t="s">
        <v>16</v>
      </c>
      <c r="H9" s="31" t="s">
        <v>17</v>
      </c>
      <c r="I9" s="32" t="s">
        <v>18</v>
      </c>
      <c r="J9" s="32">
        <v>3</v>
      </c>
      <c r="K9" s="32"/>
      <c r="L9" s="53">
        <v>1497.36</v>
      </c>
      <c r="M9" s="53">
        <v>2560.08</v>
      </c>
      <c r="N9" s="53">
        <v>2560.08</v>
      </c>
      <c r="O9" s="53">
        <f t="shared" si="0"/>
        <v>1497.36</v>
      </c>
      <c r="P9" s="53">
        <f t="shared" si="1"/>
        <v>1563.2438399999999</v>
      </c>
      <c r="Q9" s="53">
        <f t="shared" si="2"/>
        <v>1633.5898127999997</v>
      </c>
      <c r="S9" s="146">
        <f>'[1]6053MM'!$S$3</f>
        <v>1497.36</v>
      </c>
    </row>
    <row r="10" spans="1:19" x14ac:dyDescent="0.25">
      <c r="A10" s="31" t="s">
        <v>48</v>
      </c>
      <c r="B10" s="31" t="s">
        <v>11</v>
      </c>
      <c r="C10" s="31" t="s">
        <v>12</v>
      </c>
      <c r="D10" s="31" t="s">
        <v>1635</v>
      </c>
      <c r="E10" s="31" t="s">
        <v>14</v>
      </c>
      <c r="F10" s="31" t="s">
        <v>15</v>
      </c>
      <c r="G10" s="31" t="s">
        <v>16</v>
      </c>
      <c r="H10" s="31" t="s">
        <v>17</v>
      </c>
      <c r="I10" s="32" t="s">
        <v>18</v>
      </c>
      <c r="J10" s="32">
        <v>3</v>
      </c>
      <c r="K10" s="32"/>
      <c r="L10" s="53">
        <v>39936</v>
      </c>
      <c r="M10" s="53">
        <v>41613.120000000003</v>
      </c>
      <c r="N10" s="53">
        <v>41613.120000000003</v>
      </c>
      <c r="O10" s="53">
        <f t="shared" si="0"/>
        <v>43652.162880000003</v>
      </c>
      <c r="P10" s="53">
        <f t="shared" si="1"/>
        <v>45572.858046720008</v>
      </c>
      <c r="Q10" s="53">
        <f t="shared" si="2"/>
        <v>47623.636658822405</v>
      </c>
      <c r="S10" s="146">
        <f>'[1]6053MM'!$R$3</f>
        <v>43652.162880000003</v>
      </c>
    </row>
    <row r="11" spans="1:19" x14ac:dyDescent="0.25">
      <c r="A11" s="141" t="s">
        <v>2131</v>
      </c>
      <c r="B11" s="31"/>
      <c r="C11" s="31"/>
      <c r="D11" s="31" t="s">
        <v>162</v>
      </c>
      <c r="E11" s="31"/>
      <c r="F11" s="31"/>
      <c r="G11" s="31"/>
      <c r="H11" s="31"/>
      <c r="I11" s="32"/>
      <c r="J11" s="32"/>
      <c r="K11" s="32"/>
      <c r="L11" s="53">
        <v>137091.56220479999</v>
      </c>
      <c r="M11" s="53">
        <v>137091.56220479999</v>
      </c>
      <c r="N11" s="53">
        <v>137091.56220479999</v>
      </c>
      <c r="O11" s="53">
        <f t="shared" si="0"/>
        <v>136700.24</v>
      </c>
      <c r="P11" s="53">
        <f t="shared" si="1"/>
        <v>142715.05056</v>
      </c>
      <c r="Q11" s="53">
        <f t="shared" si="2"/>
        <v>149137.2278352</v>
      </c>
      <c r="S11" s="146">
        <f>'[1]6053MM'!$J$3</f>
        <v>136700.24</v>
      </c>
    </row>
    <row r="12" spans="1:19" ht="15.75" customHeight="1" x14ac:dyDescent="0.25">
      <c r="A12" s="31" t="s">
        <v>63</v>
      </c>
      <c r="B12" s="31" t="s">
        <v>11</v>
      </c>
      <c r="C12" s="31" t="s">
        <v>12</v>
      </c>
      <c r="D12" s="31" t="s">
        <v>34</v>
      </c>
      <c r="E12" s="31" t="s">
        <v>50</v>
      </c>
      <c r="F12" s="31" t="s">
        <v>15</v>
      </c>
      <c r="G12" s="31" t="s">
        <v>16</v>
      </c>
      <c r="H12" s="31" t="s">
        <v>17</v>
      </c>
      <c r="I12" s="32" t="s">
        <v>18</v>
      </c>
      <c r="J12" s="32">
        <v>3</v>
      </c>
      <c r="K12" s="32"/>
      <c r="L12" s="53">
        <v>712659.80136000004</v>
      </c>
      <c r="M12" s="53">
        <v>113228.44</v>
      </c>
      <c r="N12" s="53">
        <v>113228.44</v>
      </c>
      <c r="O12" s="53">
        <f t="shared" si="0"/>
        <v>712659.80136000004</v>
      </c>
      <c r="P12" s="53">
        <f t="shared" si="1"/>
        <v>744016.83261984005</v>
      </c>
      <c r="Q12" s="53">
        <f t="shared" si="2"/>
        <v>777497.59008773277</v>
      </c>
      <c r="S12" s="146">
        <f>'[1]6053MM'!$E$8</f>
        <v>712659.80136000004</v>
      </c>
    </row>
    <row r="13" spans="1:19" x14ac:dyDescent="0.25">
      <c r="A13" s="31" t="s">
        <v>64</v>
      </c>
      <c r="B13" s="31" t="s">
        <v>11</v>
      </c>
      <c r="C13" s="31" t="s">
        <v>12</v>
      </c>
      <c r="D13" s="31" t="s">
        <v>41</v>
      </c>
      <c r="E13" s="31" t="s">
        <v>50</v>
      </c>
      <c r="F13" s="31" t="s">
        <v>15</v>
      </c>
      <c r="G13" s="31" t="s">
        <v>16</v>
      </c>
      <c r="H13" s="31" t="s">
        <v>17</v>
      </c>
      <c r="I13" s="32" t="s">
        <v>18</v>
      </c>
      <c r="J13" s="32">
        <v>3</v>
      </c>
      <c r="K13" s="32"/>
      <c r="L13" s="53">
        <v>34992.959999999999</v>
      </c>
      <c r="M13" s="53">
        <v>5832.16</v>
      </c>
      <c r="N13" s="53">
        <v>5832.16</v>
      </c>
      <c r="O13" s="53">
        <f t="shared" si="0"/>
        <v>5832.16</v>
      </c>
      <c r="P13" s="53">
        <f t="shared" si="1"/>
        <v>6088.7750400000004</v>
      </c>
      <c r="Q13" s="53">
        <f t="shared" si="2"/>
        <v>6362.7699167999999</v>
      </c>
      <c r="R13" s="92" t="s">
        <v>2173</v>
      </c>
      <c r="S13" s="146">
        <f>'[1]6053MM'!$K$8</f>
        <v>5832.16</v>
      </c>
    </row>
    <row r="14" spans="1:19" x14ac:dyDescent="0.25">
      <c r="A14" s="31" t="s">
        <v>66</v>
      </c>
      <c r="B14" s="31" t="s">
        <v>11</v>
      </c>
      <c r="C14" s="31" t="s">
        <v>12</v>
      </c>
      <c r="D14" s="31" t="s">
        <v>47</v>
      </c>
      <c r="E14" s="31" t="s">
        <v>50</v>
      </c>
      <c r="F14" s="31" t="s">
        <v>15</v>
      </c>
      <c r="G14" s="31" t="s">
        <v>16</v>
      </c>
      <c r="H14" s="31" t="s">
        <v>17</v>
      </c>
      <c r="I14" s="32" t="s">
        <v>18</v>
      </c>
      <c r="J14" s="32">
        <v>3</v>
      </c>
      <c r="K14" s="32"/>
      <c r="L14" s="53">
        <v>120000</v>
      </c>
      <c r="M14" s="53">
        <v>20000</v>
      </c>
      <c r="N14" s="53">
        <v>20000</v>
      </c>
      <c r="O14" s="53">
        <f t="shared" si="0"/>
        <v>125880</v>
      </c>
      <c r="P14" s="53">
        <f t="shared" si="1"/>
        <v>131418.72</v>
      </c>
      <c r="Q14" s="53">
        <f t="shared" si="2"/>
        <v>137332.5624</v>
      </c>
      <c r="S14" s="146">
        <f>'[1]6053MM'!$M$8</f>
        <v>125880</v>
      </c>
    </row>
    <row r="15" spans="1:19" x14ac:dyDescent="0.25">
      <c r="A15" s="31" t="s">
        <v>54</v>
      </c>
      <c r="B15" s="31" t="s">
        <v>11</v>
      </c>
      <c r="C15" s="31" t="s">
        <v>12</v>
      </c>
      <c r="D15" s="31" t="s">
        <v>45</v>
      </c>
      <c r="E15" s="31" t="s">
        <v>50</v>
      </c>
      <c r="F15" s="31" t="s">
        <v>37</v>
      </c>
      <c r="G15" s="31" t="s">
        <v>16</v>
      </c>
      <c r="H15" s="31" t="s">
        <v>17</v>
      </c>
      <c r="I15" s="32" t="s">
        <v>38</v>
      </c>
      <c r="J15" s="32">
        <v>3</v>
      </c>
      <c r="K15" s="32"/>
      <c r="L15" s="53">
        <v>16800</v>
      </c>
      <c r="M15" s="53">
        <v>2800</v>
      </c>
      <c r="N15" s="53">
        <v>2800</v>
      </c>
      <c r="O15" s="53">
        <f t="shared" si="0"/>
        <v>17623.199999999997</v>
      </c>
      <c r="P15" s="53">
        <f t="shared" si="1"/>
        <v>18398.620799999997</v>
      </c>
      <c r="Q15" s="53">
        <f t="shared" si="2"/>
        <v>19226.558735999995</v>
      </c>
      <c r="S15" s="146">
        <f>'[1]6053MM'!$N$8</f>
        <v>17623.199999999997</v>
      </c>
    </row>
    <row r="16" spans="1:19" x14ac:dyDescent="0.25">
      <c r="A16" s="31" t="s">
        <v>65</v>
      </c>
      <c r="B16" s="31" t="s">
        <v>11</v>
      </c>
      <c r="C16" s="31" t="s">
        <v>12</v>
      </c>
      <c r="D16" s="31" t="s">
        <v>43</v>
      </c>
      <c r="E16" s="31" t="s">
        <v>50</v>
      </c>
      <c r="F16" s="31" t="s">
        <v>15</v>
      </c>
      <c r="G16" s="31" t="s">
        <v>16</v>
      </c>
      <c r="H16" s="31" t="s">
        <v>17</v>
      </c>
      <c r="I16" s="32" t="s">
        <v>18</v>
      </c>
      <c r="J16" s="32">
        <v>3</v>
      </c>
      <c r="K16" s="32"/>
      <c r="L16" s="53">
        <v>1497.36</v>
      </c>
      <c r="M16" s="53">
        <v>1132.2844</v>
      </c>
      <c r="N16" s="53">
        <v>1132.2844</v>
      </c>
      <c r="O16" s="53">
        <f t="shared" si="0"/>
        <v>1497.36</v>
      </c>
      <c r="P16" s="53">
        <f t="shared" si="1"/>
        <v>1563.2438399999999</v>
      </c>
      <c r="Q16" s="53">
        <f t="shared" si="2"/>
        <v>1633.5898127999997</v>
      </c>
      <c r="S16" s="146">
        <f>'[1]6053MM'!$S$8</f>
        <v>1497.36</v>
      </c>
    </row>
    <row r="17" spans="1:19" x14ac:dyDescent="0.25">
      <c r="A17" s="31" t="s">
        <v>67</v>
      </c>
      <c r="B17" s="31" t="s">
        <v>11</v>
      </c>
      <c r="C17" s="31" t="s">
        <v>12</v>
      </c>
      <c r="D17" s="31" t="s">
        <v>1635</v>
      </c>
      <c r="E17" s="31" t="s">
        <v>50</v>
      </c>
      <c r="F17" s="31" t="s">
        <v>15</v>
      </c>
      <c r="G17" s="31" t="s">
        <v>16</v>
      </c>
      <c r="H17" s="31" t="s">
        <v>17</v>
      </c>
      <c r="I17" s="32" t="s">
        <v>18</v>
      </c>
      <c r="J17" s="32">
        <v>3</v>
      </c>
      <c r="K17" s="32"/>
      <c r="L17" s="53">
        <v>39936</v>
      </c>
      <c r="M17" s="53">
        <v>6656</v>
      </c>
      <c r="N17" s="53">
        <v>6656</v>
      </c>
      <c r="O17" s="53">
        <f t="shared" si="0"/>
        <v>41892.863999999994</v>
      </c>
      <c r="P17" s="53">
        <f t="shared" si="1"/>
        <v>43736.150015999992</v>
      </c>
      <c r="Q17" s="53">
        <f t="shared" si="2"/>
        <v>45704.276766719988</v>
      </c>
      <c r="S17" s="146">
        <f>'[1]6053MM'!$R$8</f>
        <v>41892.863999999994</v>
      </c>
    </row>
    <row r="18" spans="1:19" x14ac:dyDescent="0.25">
      <c r="A18" s="31" t="s">
        <v>80</v>
      </c>
      <c r="B18" s="31" t="s">
        <v>11</v>
      </c>
      <c r="C18" s="31" t="s">
        <v>12</v>
      </c>
      <c r="D18" s="31" t="s">
        <v>34</v>
      </c>
      <c r="E18" s="31" t="s">
        <v>69</v>
      </c>
      <c r="F18" s="31" t="s">
        <v>15</v>
      </c>
      <c r="G18" s="31" t="s">
        <v>16</v>
      </c>
      <c r="H18" s="31" t="s">
        <v>17</v>
      </c>
      <c r="I18" s="32" t="s">
        <v>18</v>
      </c>
      <c r="J18" s="32">
        <v>3</v>
      </c>
      <c r="K18" s="32"/>
      <c r="L18" s="53">
        <v>841560.54371999996</v>
      </c>
      <c r="M18" s="53">
        <v>678656.16</v>
      </c>
      <c r="N18" s="53">
        <v>678656.16</v>
      </c>
      <c r="O18" s="53">
        <f t="shared" si="0"/>
        <v>711910.31183999998</v>
      </c>
      <c r="P18" s="53">
        <f t="shared" si="1"/>
        <v>743234.36556096002</v>
      </c>
      <c r="Q18" s="53">
        <f t="shared" si="2"/>
        <v>776679.91201120312</v>
      </c>
      <c r="R18" s="92" t="s">
        <v>2043</v>
      </c>
      <c r="S18" s="146">
        <f>'[1]6053MM'!$E$6</f>
        <v>711910.31183999998</v>
      </c>
    </row>
    <row r="19" spans="1:19" x14ac:dyDescent="0.25">
      <c r="A19" s="31" t="s">
        <v>81</v>
      </c>
      <c r="B19" s="31" t="s">
        <v>11</v>
      </c>
      <c r="C19" s="31" t="s">
        <v>12</v>
      </c>
      <c r="D19" s="31" t="s">
        <v>41</v>
      </c>
      <c r="E19" s="31" t="s">
        <v>69</v>
      </c>
      <c r="F19" s="31" t="s">
        <v>15</v>
      </c>
      <c r="G19" s="31" t="s">
        <v>16</v>
      </c>
      <c r="H19" s="31" t="s">
        <v>17</v>
      </c>
      <c r="I19" s="32" t="s">
        <v>18</v>
      </c>
      <c r="J19" s="32">
        <v>3</v>
      </c>
      <c r="K19" s="32"/>
      <c r="L19" s="53">
        <v>122158.08</v>
      </c>
      <c r="M19" s="53">
        <v>122158.08</v>
      </c>
      <c r="N19" s="53">
        <v>122158.08</v>
      </c>
      <c r="O19" s="53">
        <f t="shared" si="0"/>
        <v>61079.040000000001</v>
      </c>
      <c r="P19" s="53">
        <f t="shared" si="1"/>
        <v>63766.517760000002</v>
      </c>
      <c r="Q19" s="53">
        <f t="shared" si="2"/>
        <v>66636.011059199998</v>
      </c>
      <c r="S19" s="146">
        <f>'[1]6053MM'!$K$6</f>
        <v>61079.040000000001</v>
      </c>
    </row>
    <row r="20" spans="1:19" x14ac:dyDescent="0.25">
      <c r="A20" s="71" t="s">
        <v>70</v>
      </c>
      <c r="B20" s="31"/>
      <c r="C20" s="31"/>
      <c r="D20" s="31" t="s">
        <v>36</v>
      </c>
      <c r="E20" s="31" t="s">
        <v>69</v>
      </c>
      <c r="F20" s="31"/>
      <c r="G20" s="31"/>
      <c r="H20" s="31"/>
      <c r="I20" s="32"/>
      <c r="J20" s="32"/>
      <c r="K20" s="32"/>
      <c r="L20" s="53">
        <v>84684</v>
      </c>
      <c r="M20" s="53">
        <v>42342</v>
      </c>
      <c r="N20" s="53">
        <v>42342</v>
      </c>
      <c r="O20" s="53">
        <f t="shared" si="0"/>
        <v>84684</v>
      </c>
      <c r="P20" s="53">
        <f t="shared" si="1"/>
        <v>88410.096000000005</v>
      </c>
      <c r="Q20" s="53">
        <f t="shared" si="2"/>
        <v>92388.550319999995</v>
      </c>
      <c r="S20" s="146">
        <f>'[1]6053MM'!$L$6</f>
        <v>84684</v>
      </c>
    </row>
    <row r="21" spans="1:19" x14ac:dyDescent="0.25">
      <c r="A21" s="31" t="s">
        <v>83</v>
      </c>
      <c r="B21" s="31" t="s">
        <v>11</v>
      </c>
      <c r="C21" s="31" t="s">
        <v>12</v>
      </c>
      <c r="D21" s="31" t="s">
        <v>47</v>
      </c>
      <c r="E21" s="31" t="s">
        <v>69</v>
      </c>
      <c r="F21" s="31" t="s">
        <v>15</v>
      </c>
      <c r="G21" s="31" t="s">
        <v>16</v>
      </c>
      <c r="H21" s="31" t="s">
        <v>17</v>
      </c>
      <c r="I21" s="32" t="s">
        <v>18</v>
      </c>
      <c r="J21" s="32">
        <v>3</v>
      </c>
      <c r="K21" s="32"/>
      <c r="L21" s="53">
        <v>155364</v>
      </c>
      <c r="M21" s="53">
        <v>155364</v>
      </c>
      <c r="N21" s="53">
        <v>155364</v>
      </c>
      <c r="O21" s="53">
        <f t="shared" si="0"/>
        <v>162976.83599999998</v>
      </c>
      <c r="P21" s="53">
        <f t="shared" si="1"/>
        <v>170147.816784</v>
      </c>
      <c r="Q21" s="53">
        <f t="shared" si="2"/>
        <v>177804.46853927997</v>
      </c>
      <c r="S21" s="146">
        <f>'[1]6053MM'!$M$6</f>
        <v>162976.83599999998</v>
      </c>
    </row>
    <row r="22" spans="1:19" x14ac:dyDescent="0.25">
      <c r="A22" s="31" t="s">
        <v>71</v>
      </c>
      <c r="B22" s="31" t="s">
        <v>11</v>
      </c>
      <c r="C22" s="31" t="s">
        <v>12</v>
      </c>
      <c r="D22" s="31" t="s">
        <v>45</v>
      </c>
      <c r="E22" s="31" t="s">
        <v>69</v>
      </c>
      <c r="F22" s="31" t="s">
        <v>37</v>
      </c>
      <c r="G22" s="31" t="s">
        <v>16</v>
      </c>
      <c r="H22" s="31" t="s">
        <v>17</v>
      </c>
      <c r="I22" s="32" t="s">
        <v>38</v>
      </c>
      <c r="J22" s="32">
        <v>3</v>
      </c>
      <c r="K22" s="32"/>
      <c r="L22" s="53">
        <v>16800</v>
      </c>
      <c r="M22" s="53">
        <v>16800</v>
      </c>
      <c r="N22" s="53">
        <v>16800</v>
      </c>
      <c r="O22" s="53">
        <f t="shared" si="0"/>
        <v>17623.199999999997</v>
      </c>
      <c r="P22" s="53">
        <f t="shared" si="1"/>
        <v>18398.620799999997</v>
      </c>
      <c r="Q22" s="53">
        <f t="shared" si="2"/>
        <v>19226.558735999995</v>
      </c>
      <c r="S22" s="146">
        <f>'[1]6053MM'!$N$6</f>
        <v>17623.199999999997</v>
      </c>
    </row>
    <row r="23" spans="1:19" x14ac:dyDescent="0.25">
      <c r="A23" s="31" t="s">
        <v>82</v>
      </c>
      <c r="B23" s="31" t="s">
        <v>11</v>
      </c>
      <c r="C23" s="31" t="s">
        <v>12</v>
      </c>
      <c r="D23" s="31" t="s">
        <v>43</v>
      </c>
      <c r="E23" s="31" t="s">
        <v>69</v>
      </c>
      <c r="F23" s="31" t="s">
        <v>15</v>
      </c>
      <c r="G23" s="31" t="s">
        <v>16</v>
      </c>
      <c r="H23" s="31" t="s">
        <v>17</v>
      </c>
      <c r="I23" s="32" t="s">
        <v>18</v>
      </c>
      <c r="J23" s="32">
        <v>3</v>
      </c>
      <c r="K23" s="32"/>
      <c r="L23" s="53">
        <v>1497.36</v>
      </c>
      <c r="M23" s="53">
        <v>2560.08</v>
      </c>
      <c r="N23" s="53">
        <v>2560.08</v>
      </c>
      <c r="O23" s="53">
        <f t="shared" si="0"/>
        <v>1497.36</v>
      </c>
      <c r="P23" s="53">
        <f t="shared" si="1"/>
        <v>1563.2438399999999</v>
      </c>
      <c r="Q23" s="53">
        <f t="shared" si="2"/>
        <v>1633.5898127999997</v>
      </c>
      <c r="S23" s="146">
        <f>'[1]6053MM'!$S$6</f>
        <v>1497.36</v>
      </c>
    </row>
    <row r="24" spans="1:19" x14ac:dyDescent="0.25">
      <c r="A24" s="31" t="s">
        <v>84</v>
      </c>
      <c r="B24" s="31" t="s">
        <v>11</v>
      </c>
      <c r="C24" s="31" t="s">
        <v>12</v>
      </c>
      <c r="D24" s="31" t="s">
        <v>1635</v>
      </c>
      <c r="E24" s="31" t="s">
        <v>69</v>
      </c>
      <c r="F24" s="31" t="s">
        <v>15</v>
      </c>
      <c r="G24" s="31" t="s">
        <v>16</v>
      </c>
      <c r="H24" s="31" t="s">
        <v>17</v>
      </c>
      <c r="I24" s="32" t="s">
        <v>18</v>
      </c>
      <c r="J24" s="32">
        <v>3</v>
      </c>
      <c r="K24" s="32"/>
      <c r="L24" s="53">
        <v>38036.28</v>
      </c>
      <c r="M24" s="53">
        <v>38036.28</v>
      </c>
      <c r="N24" s="53">
        <v>38036.28</v>
      </c>
      <c r="O24" s="53">
        <f t="shared" si="0"/>
        <v>39900.057719999997</v>
      </c>
      <c r="P24" s="53">
        <f t="shared" si="1"/>
        <v>41655.66025968</v>
      </c>
      <c r="Q24" s="53">
        <f t="shared" si="2"/>
        <v>43530.164971365601</v>
      </c>
      <c r="S24" s="146">
        <f>'[1]6053MM'!$R$6</f>
        <v>39900.057719999997</v>
      </c>
    </row>
    <row r="25" spans="1:19" ht="30" x14ac:dyDescent="0.25">
      <c r="A25" s="31" t="s">
        <v>98</v>
      </c>
      <c r="B25" s="31" t="s">
        <v>11</v>
      </c>
      <c r="C25" s="31" t="s">
        <v>89</v>
      </c>
      <c r="D25" s="31" t="s">
        <v>34</v>
      </c>
      <c r="E25" s="31" t="s">
        <v>90</v>
      </c>
      <c r="F25" s="31" t="s">
        <v>15</v>
      </c>
      <c r="G25" s="31" t="s">
        <v>16</v>
      </c>
      <c r="H25" s="31" t="s">
        <v>17</v>
      </c>
      <c r="I25" s="32" t="s">
        <v>18</v>
      </c>
      <c r="J25" s="32">
        <v>3</v>
      </c>
      <c r="K25" s="32"/>
      <c r="L25" s="53">
        <v>841560.54371999996</v>
      </c>
      <c r="M25" s="53">
        <v>802250.28</v>
      </c>
      <c r="N25" s="53">
        <v>802250.28</v>
      </c>
      <c r="O25" s="53">
        <f t="shared" si="0"/>
        <v>841560.54371999996</v>
      </c>
      <c r="P25" s="53">
        <f t="shared" si="1"/>
        <v>878589.20764368004</v>
      </c>
      <c r="Q25" s="53">
        <f t="shared" si="2"/>
        <v>918125.72198764561</v>
      </c>
      <c r="R25" s="92" t="s">
        <v>2044</v>
      </c>
      <c r="S25" s="146">
        <f>'[1]6053MM'!$E$4</f>
        <v>841560.54371999996</v>
      </c>
    </row>
    <row r="26" spans="1:19" x14ac:dyDescent="0.25">
      <c r="A26" s="31" t="s">
        <v>100</v>
      </c>
      <c r="B26" s="31" t="s">
        <v>11</v>
      </c>
      <c r="C26" s="31" t="s">
        <v>89</v>
      </c>
      <c r="D26" s="31" t="s">
        <v>41</v>
      </c>
      <c r="E26" s="31" t="s">
        <v>90</v>
      </c>
      <c r="F26" s="31" t="s">
        <v>15</v>
      </c>
      <c r="G26" s="31" t="s">
        <v>16</v>
      </c>
      <c r="H26" s="31" t="s">
        <v>17</v>
      </c>
      <c r="I26" s="32" t="s">
        <v>18</v>
      </c>
      <c r="J26" s="32">
        <v>3</v>
      </c>
      <c r="K26" s="32"/>
      <c r="L26" s="53">
        <v>40112.520000000004</v>
      </c>
      <c r="M26" s="53">
        <v>40112.520000000004</v>
      </c>
      <c r="N26" s="53">
        <v>40112.520000000004</v>
      </c>
      <c r="O26" s="53">
        <f t="shared" si="0"/>
        <v>20056.260000000002</v>
      </c>
      <c r="P26" s="53">
        <f t="shared" si="1"/>
        <v>20938.735440000004</v>
      </c>
      <c r="Q26" s="53">
        <f t="shared" si="2"/>
        <v>21880.978534800004</v>
      </c>
      <c r="S26" s="146">
        <f>'[1]6053MM'!$K$4</f>
        <v>20056.260000000002</v>
      </c>
    </row>
    <row r="27" spans="1:19" hidden="1" x14ac:dyDescent="0.25">
      <c r="A27" s="31" t="s">
        <v>99</v>
      </c>
      <c r="B27" s="31" t="s">
        <v>11</v>
      </c>
      <c r="C27" s="31" t="s">
        <v>89</v>
      </c>
      <c r="D27" s="31" t="s">
        <v>36</v>
      </c>
      <c r="E27" s="31" t="s">
        <v>90</v>
      </c>
      <c r="F27" s="31" t="s">
        <v>15</v>
      </c>
      <c r="G27" s="31" t="s">
        <v>16</v>
      </c>
      <c r="H27" s="31" t="s">
        <v>17</v>
      </c>
      <c r="I27" s="32" t="s">
        <v>18</v>
      </c>
      <c r="J27" s="32">
        <v>3</v>
      </c>
      <c r="K27" s="32"/>
      <c r="L27" s="53">
        <v>0</v>
      </c>
      <c r="M27" s="53">
        <v>0</v>
      </c>
      <c r="N27" s="53">
        <v>0</v>
      </c>
      <c r="O27" s="53">
        <f t="shared" si="0"/>
        <v>0</v>
      </c>
      <c r="P27" s="53">
        <f t="shared" si="1"/>
        <v>0</v>
      </c>
      <c r="Q27" s="53">
        <f t="shared" si="2"/>
        <v>0</v>
      </c>
      <c r="S27" s="146">
        <f>'[1]6053MM'!$L$4</f>
        <v>0</v>
      </c>
    </row>
    <row r="28" spans="1:19" x14ac:dyDescent="0.25">
      <c r="A28" s="31" t="s">
        <v>103</v>
      </c>
      <c r="B28" s="31" t="s">
        <v>11</v>
      </c>
      <c r="C28" s="31" t="s">
        <v>89</v>
      </c>
      <c r="D28" s="31" t="s">
        <v>47</v>
      </c>
      <c r="E28" s="31" t="s">
        <v>90</v>
      </c>
      <c r="F28" s="31" t="s">
        <v>15</v>
      </c>
      <c r="G28" s="31" t="s">
        <v>16</v>
      </c>
      <c r="H28" s="31" t="s">
        <v>17</v>
      </c>
      <c r="I28" s="32" t="s">
        <v>18</v>
      </c>
      <c r="J28" s="32">
        <v>3</v>
      </c>
      <c r="K28" s="32"/>
      <c r="L28" s="53">
        <v>156108</v>
      </c>
      <c r="M28" s="53">
        <v>156108</v>
      </c>
      <c r="N28" s="53">
        <v>156108</v>
      </c>
      <c r="O28" s="53">
        <f t="shared" si="0"/>
        <v>163757.29199999999</v>
      </c>
      <c r="P28" s="53">
        <f t="shared" si="1"/>
        <v>170962.61284799999</v>
      </c>
      <c r="Q28" s="53">
        <f t="shared" si="2"/>
        <v>178655.93042615999</v>
      </c>
      <c r="S28" s="146">
        <f>'[1]6053MM'!$M$4</f>
        <v>163757.29199999999</v>
      </c>
    </row>
    <row r="29" spans="1:19" x14ac:dyDescent="0.25">
      <c r="A29" s="31" t="s">
        <v>102</v>
      </c>
      <c r="B29" s="31" t="s">
        <v>11</v>
      </c>
      <c r="C29" s="31" t="s">
        <v>12</v>
      </c>
      <c r="D29" s="31" t="s">
        <v>45</v>
      </c>
      <c r="E29" s="31" t="s">
        <v>90</v>
      </c>
      <c r="F29" s="31" t="s">
        <v>37</v>
      </c>
      <c r="G29" s="31" t="s">
        <v>16</v>
      </c>
      <c r="H29" s="31" t="s">
        <v>17</v>
      </c>
      <c r="I29" s="32" t="s">
        <v>38</v>
      </c>
      <c r="J29" s="32">
        <v>3</v>
      </c>
      <c r="K29" s="32"/>
      <c r="L29" s="53">
        <v>16800</v>
      </c>
      <c r="M29" s="53">
        <v>16800</v>
      </c>
      <c r="N29" s="53">
        <v>16800</v>
      </c>
      <c r="O29" s="53">
        <f t="shared" si="0"/>
        <v>17623.199999999997</v>
      </c>
      <c r="P29" s="53">
        <f t="shared" si="1"/>
        <v>18398.620799999997</v>
      </c>
      <c r="Q29" s="53">
        <f t="shared" si="2"/>
        <v>19226.558735999995</v>
      </c>
      <c r="S29" s="146">
        <f>'[1]6053MM'!$N$4</f>
        <v>17623.199999999997</v>
      </c>
    </row>
    <row r="30" spans="1:19" x14ac:dyDescent="0.25">
      <c r="A30" s="31" t="s">
        <v>101</v>
      </c>
      <c r="B30" s="31" t="s">
        <v>11</v>
      </c>
      <c r="C30" s="31" t="s">
        <v>89</v>
      </c>
      <c r="D30" s="31" t="s">
        <v>43</v>
      </c>
      <c r="E30" s="31" t="s">
        <v>90</v>
      </c>
      <c r="F30" s="31" t="s">
        <v>15</v>
      </c>
      <c r="G30" s="31" t="s">
        <v>16</v>
      </c>
      <c r="H30" s="31" t="s">
        <v>17</v>
      </c>
      <c r="I30" s="32" t="s">
        <v>18</v>
      </c>
      <c r="J30" s="32">
        <v>3</v>
      </c>
      <c r="K30" s="32"/>
      <c r="L30" s="53">
        <v>1497.36</v>
      </c>
      <c r="M30" s="53">
        <v>2560.08</v>
      </c>
      <c r="N30" s="53">
        <v>2560.08</v>
      </c>
      <c r="O30" s="53">
        <f t="shared" si="0"/>
        <v>1497.36</v>
      </c>
      <c r="P30" s="53">
        <f t="shared" si="1"/>
        <v>1563.2438399999999</v>
      </c>
      <c r="Q30" s="53">
        <f t="shared" si="2"/>
        <v>1633.5898127999997</v>
      </c>
      <c r="S30" s="146">
        <f>'[1]6053MM'!$S$4</f>
        <v>1497.36</v>
      </c>
    </row>
    <row r="31" spans="1:19" x14ac:dyDescent="0.25">
      <c r="A31" s="31" t="s">
        <v>105</v>
      </c>
      <c r="B31" s="31" t="s">
        <v>11</v>
      </c>
      <c r="C31" s="31" t="s">
        <v>89</v>
      </c>
      <c r="D31" s="31" t="s">
        <v>1635</v>
      </c>
      <c r="E31" s="31" t="s">
        <v>90</v>
      </c>
      <c r="F31" s="31" t="s">
        <v>15</v>
      </c>
      <c r="G31" s="31" t="s">
        <v>16</v>
      </c>
      <c r="H31" s="31" t="s">
        <v>17</v>
      </c>
      <c r="I31" s="32" t="s">
        <v>18</v>
      </c>
      <c r="J31" s="32">
        <v>3</v>
      </c>
      <c r="K31" s="32"/>
      <c r="L31" s="53">
        <v>38036.28</v>
      </c>
      <c r="M31" s="53">
        <v>38036.28</v>
      </c>
      <c r="N31" s="53">
        <v>38036.28</v>
      </c>
      <c r="O31" s="53">
        <f t="shared" si="0"/>
        <v>39900.057719999997</v>
      </c>
      <c r="P31" s="53">
        <f t="shared" si="1"/>
        <v>41655.66025968</v>
      </c>
      <c r="Q31" s="53">
        <f t="shared" si="2"/>
        <v>43530.164971365601</v>
      </c>
      <c r="S31" s="146">
        <f>'[1]6053MM'!$R$4</f>
        <v>39900.057719999997</v>
      </c>
    </row>
    <row r="32" spans="1:19" x14ac:dyDescent="0.25">
      <c r="A32" s="31" t="s">
        <v>113</v>
      </c>
      <c r="B32" s="31" t="s">
        <v>11</v>
      </c>
      <c r="C32" s="31" t="s">
        <v>12</v>
      </c>
      <c r="D32" s="31" t="s">
        <v>34</v>
      </c>
      <c r="E32" s="31" t="s">
        <v>107</v>
      </c>
      <c r="F32" s="31" t="s">
        <v>15</v>
      </c>
      <c r="G32" s="31" t="s">
        <v>16</v>
      </c>
      <c r="H32" s="31" t="s">
        <v>17</v>
      </c>
      <c r="I32" s="32" t="s">
        <v>18</v>
      </c>
      <c r="J32" s="32">
        <v>3</v>
      </c>
      <c r="K32" s="32"/>
      <c r="L32" s="53">
        <v>1143108.0977999999</v>
      </c>
      <c r="M32" s="53">
        <v>1089712.2000000002</v>
      </c>
      <c r="N32" s="53">
        <v>1089712.2000000002</v>
      </c>
      <c r="O32" s="53">
        <f t="shared" si="0"/>
        <v>1143108.0977999999</v>
      </c>
      <c r="P32" s="53">
        <f t="shared" si="1"/>
        <v>1193404.8541031999</v>
      </c>
      <c r="Q32" s="53">
        <f t="shared" si="2"/>
        <v>1247108.0725378438</v>
      </c>
      <c r="R32" s="92" t="s">
        <v>2045</v>
      </c>
      <c r="S32" s="146">
        <f>'[1]6053MM'!$E$5</f>
        <v>1143108.0977999999</v>
      </c>
    </row>
    <row r="33" spans="1:19" x14ac:dyDescent="0.25">
      <c r="A33" s="31" t="s">
        <v>114</v>
      </c>
      <c r="B33" s="31" t="s">
        <v>11</v>
      </c>
      <c r="C33" s="31" t="s">
        <v>12</v>
      </c>
      <c r="D33" s="31" t="s">
        <v>41</v>
      </c>
      <c r="E33" s="31" t="s">
        <v>107</v>
      </c>
      <c r="F33" s="31" t="s">
        <v>15</v>
      </c>
      <c r="G33" s="31" t="s">
        <v>16</v>
      </c>
      <c r="H33" s="31" t="s">
        <v>17</v>
      </c>
      <c r="I33" s="32" t="s">
        <v>18</v>
      </c>
      <c r="J33" s="32">
        <v>3</v>
      </c>
      <c r="K33" s="32"/>
      <c r="L33" s="53">
        <v>54485.64</v>
      </c>
      <c r="M33" s="53">
        <v>54485.64</v>
      </c>
      <c r="N33" s="53">
        <v>54485.64</v>
      </c>
      <c r="O33" s="53">
        <f t="shared" si="0"/>
        <v>27242.82</v>
      </c>
      <c r="P33" s="53">
        <f t="shared" si="1"/>
        <v>28441.504080000002</v>
      </c>
      <c r="Q33" s="53">
        <f t="shared" si="2"/>
        <v>29721.3717636</v>
      </c>
      <c r="S33" s="146">
        <f>'[1]6053MM'!$K$5</f>
        <v>27242.82</v>
      </c>
    </row>
    <row r="34" spans="1:19" x14ac:dyDescent="0.25">
      <c r="A34" s="31" t="s">
        <v>122</v>
      </c>
      <c r="B34" s="31" t="s">
        <v>11</v>
      </c>
      <c r="C34" s="31" t="s">
        <v>12</v>
      </c>
      <c r="D34" s="31" t="s">
        <v>47</v>
      </c>
      <c r="E34" s="31" t="s">
        <v>107</v>
      </c>
      <c r="F34" s="31" t="s">
        <v>15</v>
      </c>
      <c r="G34" s="31" t="s">
        <v>16</v>
      </c>
      <c r="H34" s="31" t="s">
        <v>17</v>
      </c>
      <c r="I34" s="32" t="s">
        <v>18</v>
      </c>
      <c r="J34" s="32">
        <v>3</v>
      </c>
      <c r="K34" s="32"/>
      <c r="L34" s="53">
        <v>121080</v>
      </c>
      <c r="M34" s="53">
        <v>121080</v>
      </c>
      <c r="N34" s="53">
        <v>121080</v>
      </c>
      <c r="O34" s="53">
        <f t="shared" si="0"/>
        <v>127012.92</v>
      </c>
      <c r="P34" s="53">
        <f t="shared" si="1"/>
        <v>132601.48848</v>
      </c>
      <c r="Q34" s="53">
        <f t="shared" si="2"/>
        <v>138568.55546159999</v>
      </c>
      <c r="S34" s="146">
        <f>'[1]6053MM'!$M$5</f>
        <v>127012.92</v>
      </c>
    </row>
    <row r="35" spans="1:19" x14ac:dyDescent="0.25">
      <c r="A35" s="31" t="s">
        <v>108</v>
      </c>
      <c r="B35" s="31" t="s">
        <v>11</v>
      </c>
      <c r="C35" s="31" t="s">
        <v>12</v>
      </c>
      <c r="D35" s="31" t="s">
        <v>45</v>
      </c>
      <c r="E35" s="31" t="s">
        <v>107</v>
      </c>
      <c r="F35" s="31" t="s">
        <v>37</v>
      </c>
      <c r="G35" s="31" t="s">
        <v>16</v>
      </c>
      <c r="H35" s="31" t="s">
        <v>17</v>
      </c>
      <c r="I35" s="32" t="s">
        <v>38</v>
      </c>
      <c r="J35" s="32">
        <v>3</v>
      </c>
      <c r="K35" s="32"/>
      <c r="L35" s="53">
        <v>16800</v>
      </c>
      <c r="M35" s="53">
        <v>16800</v>
      </c>
      <c r="N35" s="53">
        <v>16800</v>
      </c>
      <c r="O35" s="53">
        <f t="shared" si="0"/>
        <v>17606.400000000001</v>
      </c>
      <c r="P35" s="53">
        <f t="shared" si="1"/>
        <v>18381.081600000001</v>
      </c>
      <c r="Q35" s="53">
        <f t="shared" si="2"/>
        <v>19208.230272000001</v>
      </c>
      <c r="S35" s="146">
        <f>'[1]6053MM'!$N$5</f>
        <v>17606.400000000001</v>
      </c>
    </row>
    <row r="36" spans="1:19" x14ac:dyDescent="0.25">
      <c r="A36" s="31" t="s">
        <v>115</v>
      </c>
      <c r="B36" s="31" t="s">
        <v>11</v>
      </c>
      <c r="C36" s="31" t="s">
        <v>12</v>
      </c>
      <c r="D36" s="31" t="s">
        <v>43</v>
      </c>
      <c r="E36" s="31" t="s">
        <v>107</v>
      </c>
      <c r="F36" s="31" t="s">
        <v>15</v>
      </c>
      <c r="G36" s="31" t="s">
        <v>16</v>
      </c>
      <c r="H36" s="31" t="s">
        <v>17</v>
      </c>
      <c r="I36" s="32" t="s">
        <v>18</v>
      </c>
      <c r="J36" s="32">
        <v>3</v>
      </c>
      <c r="K36" s="32"/>
      <c r="L36" s="53">
        <v>1497.36</v>
      </c>
      <c r="M36" s="53">
        <v>2994.72</v>
      </c>
      <c r="N36" s="53">
        <v>2994.72</v>
      </c>
      <c r="O36" s="53">
        <f t="shared" si="0"/>
        <v>1497.36</v>
      </c>
      <c r="P36" s="53">
        <f t="shared" si="1"/>
        <v>1563.2438399999999</v>
      </c>
      <c r="Q36" s="53">
        <f t="shared" si="2"/>
        <v>1633.5898127999997</v>
      </c>
      <c r="S36" s="146">
        <f>'[1]6053MM'!$S$5</f>
        <v>1497.36</v>
      </c>
    </row>
    <row r="37" spans="1:19" x14ac:dyDescent="0.25">
      <c r="A37" s="31" t="s">
        <v>123</v>
      </c>
      <c r="B37" s="31" t="s">
        <v>11</v>
      </c>
      <c r="C37" s="31" t="s">
        <v>12</v>
      </c>
      <c r="D37" s="31" t="s">
        <v>1635</v>
      </c>
      <c r="E37" s="31" t="s">
        <v>107</v>
      </c>
      <c r="F37" s="31" t="s">
        <v>15</v>
      </c>
      <c r="G37" s="31" t="s">
        <v>16</v>
      </c>
      <c r="H37" s="31" t="s">
        <v>17</v>
      </c>
      <c r="I37" s="32" t="s">
        <v>18</v>
      </c>
      <c r="J37" s="32">
        <v>3</v>
      </c>
      <c r="K37" s="32"/>
      <c r="L37" s="53">
        <v>50682.600000000006</v>
      </c>
      <c r="M37" s="53">
        <v>50682.600000000006</v>
      </c>
      <c r="N37" s="53">
        <v>50682.600000000006</v>
      </c>
      <c r="O37" s="53">
        <f t="shared" si="0"/>
        <v>53166.047400000003</v>
      </c>
      <c r="P37" s="53">
        <f t="shared" si="1"/>
        <v>55505.353485600004</v>
      </c>
      <c r="Q37" s="53">
        <f t="shared" si="2"/>
        <v>58003.094392452003</v>
      </c>
      <c r="S37" s="146">
        <f>'[1]6053MM'!$R$5</f>
        <v>53166.047400000003</v>
      </c>
    </row>
    <row r="38" spans="1:19" x14ac:dyDescent="0.25">
      <c r="A38" s="31" t="s">
        <v>134</v>
      </c>
      <c r="B38" s="31" t="s">
        <v>11</v>
      </c>
      <c r="C38" s="31" t="s">
        <v>12</v>
      </c>
      <c r="D38" s="31" t="s">
        <v>34</v>
      </c>
      <c r="E38" s="31" t="s">
        <v>126</v>
      </c>
      <c r="F38" s="31" t="s">
        <v>15</v>
      </c>
      <c r="G38" s="31" t="s">
        <v>16</v>
      </c>
      <c r="H38" s="31" t="s">
        <v>17</v>
      </c>
      <c r="I38" s="32" t="s">
        <v>18</v>
      </c>
      <c r="J38" s="32">
        <v>3</v>
      </c>
      <c r="K38" s="32"/>
      <c r="L38" s="53">
        <v>841560.54371999996</v>
      </c>
      <c r="M38" s="53">
        <v>712108.02</v>
      </c>
      <c r="N38" s="53">
        <v>712108.02</v>
      </c>
      <c r="O38" s="53">
        <f t="shared" si="0"/>
        <v>733250.24471999996</v>
      </c>
      <c r="P38" s="53">
        <f t="shared" si="1"/>
        <v>765513.25548767997</v>
      </c>
      <c r="Q38" s="53">
        <f t="shared" si="2"/>
        <v>799961.35198462557</v>
      </c>
      <c r="R38" s="92" t="s">
        <v>2046</v>
      </c>
      <c r="S38" s="146">
        <f>'[1]6053MM'!$E$7</f>
        <v>733250.24471999996</v>
      </c>
    </row>
    <row r="39" spans="1:19" x14ac:dyDescent="0.25">
      <c r="A39" s="52" t="s">
        <v>1946</v>
      </c>
      <c r="B39" s="31"/>
      <c r="C39" s="31"/>
      <c r="D39" s="31" t="s">
        <v>41</v>
      </c>
      <c r="E39" s="31" t="s">
        <v>126</v>
      </c>
      <c r="F39" s="31"/>
      <c r="G39" s="31"/>
      <c r="H39" s="31"/>
      <c r="I39" s="32"/>
      <c r="J39" s="32"/>
      <c r="K39" s="32"/>
      <c r="L39" s="53">
        <v>33768.120000000003</v>
      </c>
      <c r="M39" s="53">
        <v>34556.04</v>
      </c>
      <c r="N39" s="53">
        <v>34556.04</v>
      </c>
      <c r="O39" s="53">
        <f t="shared" si="0"/>
        <v>17475</v>
      </c>
      <c r="P39" s="53">
        <f t="shared" si="1"/>
        <v>18243.900000000001</v>
      </c>
      <c r="Q39" s="53">
        <f t="shared" si="2"/>
        <v>19064.875500000002</v>
      </c>
      <c r="S39" s="146">
        <f>'[1]6053MM'!$K$7</f>
        <v>17475</v>
      </c>
    </row>
    <row r="40" spans="1:19" x14ac:dyDescent="0.25">
      <c r="A40" s="52" t="s">
        <v>135</v>
      </c>
      <c r="B40" s="31"/>
      <c r="C40" s="31"/>
      <c r="D40" s="31" t="s">
        <v>36</v>
      </c>
      <c r="E40" s="31" t="s">
        <v>126</v>
      </c>
      <c r="F40" s="31"/>
      <c r="G40" s="31"/>
      <c r="H40" s="31"/>
      <c r="I40" s="32"/>
      <c r="J40" s="32"/>
      <c r="K40" s="32"/>
      <c r="L40" s="53">
        <v>93180</v>
      </c>
      <c r="M40" s="53">
        <v>49626</v>
      </c>
      <c r="N40" s="53">
        <v>49626</v>
      </c>
      <c r="O40" s="53">
        <f t="shared" si="0"/>
        <v>99252</v>
      </c>
      <c r="P40" s="53">
        <f t="shared" si="1"/>
        <v>103619.088</v>
      </c>
      <c r="Q40" s="53">
        <f t="shared" si="2"/>
        <v>108281.94696</v>
      </c>
      <c r="S40" s="146">
        <f>'[1]6053MM'!$L$7</f>
        <v>99252</v>
      </c>
    </row>
    <row r="41" spans="1:19" x14ac:dyDescent="0.25">
      <c r="A41" s="31" t="s">
        <v>139</v>
      </c>
      <c r="B41" s="31" t="s">
        <v>11</v>
      </c>
      <c r="C41" s="31" t="s">
        <v>12</v>
      </c>
      <c r="D41" s="31" t="s">
        <v>47</v>
      </c>
      <c r="E41" s="31" t="s">
        <v>126</v>
      </c>
      <c r="F41" s="31" t="s">
        <v>15</v>
      </c>
      <c r="G41" s="31" t="s">
        <v>16</v>
      </c>
      <c r="H41" s="31" t="s">
        <v>17</v>
      </c>
      <c r="I41" s="32" t="s">
        <v>18</v>
      </c>
      <c r="J41" s="32">
        <v>3</v>
      </c>
      <c r="K41" s="32"/>
      <c r="L41" s="53">
        <v>240000</v>
      </c>
      <c r="M41" s="53">
        <v>240000</v>
      </c>
      <c r="N41" s="53">
        <v>240000</v>
      </c>
      <c r="O41" s="53">
        <f t="shared" si="0"/>
        <v>251760</v>
      </c>
      <c r="P41" s="53">
        <f t="shared" si="1"/>
        <v>262837.44</v>
      </c>
      <c r="Q41" s="53">
        <f t="shared" si="2"/>
        <v>274665.12479999999</v>
      </c>
      <c r="S41" s="146">
        <f>'[1]6053MM'!$M$7</f>
        <v>251760</v>
      </c>
    </row>
    <row r="42" spans="1:19" x14ac:dyDescent="0.25">
      <c r="A42" s="31" t="s">
        <v>138</v>
      </c>
      <c r="B42" s="31" t="s">
        <v>11</v>
      </c>
      <c r="C42" s="31" t="s">
        <v>12</v>
      </c>
      <c r="D42" s="31" t="s">
        <v>45</v>
      </c>
      <c r="E42" s="31" t="s">
        <v>126</v>
      </c>
      <c r="F42" s="31" t="s">
        <v>37</v>
      </c>
      <c r="G42" s="31" t="s">
        <v>16</v>
      </c>
      <c r="H42" s="31" t="s">
        <v>17</v>
      </c>
      <c r="I42" s="32" t="s">
        <v>38</v>
      </c>
      <c r="J42" s="32">
        <v>3</v>
      </c>
      <c r="K42" s="32"/>
      <c r="L42" s="53">
        <v>16800</v>
      </c>
      <c r="M42" s="53">
        <v>16800</v>
      </c>
      <c r="N42" s="53">
        <v>16800</v>
      </c>
      <c r="O42" s="53">
        <f t="shared" si="0"/>
        <v>17623.199999999997</v>
      </c>
      <c r="P42" s="53">
        <f t="shared" si="1"/>
        <v>18398.620799999997</v>
      </c>
      <c r="Q42" s="53">
        <f t="shared" si="2"/>
        <v>19226.558735999995</v>
      </c>
      <c r="S42" s="146">
        <f>'[1]6053MM'!$N$7</f>
        <v>17623.199999999997</v>
      </c>
    </row>
    <row r="43" spans="1:19" x14ac:dyDescent="0.25">
      <c r="A43" s="31" t="s">
        <v>137</v>
      </c>
      <c r="B43" s="31" t="s">
        <v>11</v>
      </c>
      <c r="C43" s="31" t="s">
        <v>12</v>
      </c>
      <c r="D43" s="31" t="s">
        <v>43</v>
      </c>
      <c r="E43" s="31" t="s">
        <v>126</v>
      </c>
      <c r="F43" s="31" t="s">
        <v>15</v>
      </c>
      <c r="G43" s="31" t="s">
        <v>16</v>
      </c>
      <c r="H43" s="31" t="s">
        <v>17</v>
      </c>
      <c r="I43" s="32" t="s">
        <v>18</v>
      </c>
      <c r="J43" s="32">
        <v>3</v>
      </c>
      <c r="K43" s="32"/>
      <c r="L43" s="53">
        <v>1497.36</v>
      </c>
      <c r="M43" s="53">
        <v>2560.08</v>
      </c>
      <c r="N43" s="53">
        <v>2560.08</v>
      </c>
      <c r="O43" s="53">
        <f t="shared" si="0"/>
        <v>1497.36</v>
      </c>
      <c r="P43" s="53">
        <f t="shared" si="1"/>
        <v>1563.2438399999999</v>
      </c>
      <c r="Q43" s="53">
        <f t="shared" si="2"/>
        <v>1633.5898127999997</v>
      </c>
      <c r="S43" s="146">
        <f>'[1]6053MM'!$S$7</f>
        <v>1497.36</v>
      </c>
    </row>
    <row r="44" spans="1:19" x14ac:dyDescent="0.25">
      <c r="A44" s="50" t="s">
        <v>141</v>
      </c>
      <c r="B44" s="31"/>
      <c r="C44" s="31"/>
      <c r="D44" s="31" t="s">
        <v>1635</v>
      </c>
      <c r="E44" s="31" t="s">
        <v>126</v>
      </c>
      <c r="F44" s="31"/>
      <c r="G44" s="31"/>
      <c r="H44" s="31"/>
      <c r="I44" s="32"/>
      <c r="J44" s="32"/>
      <c r="K44" s="32"/>
      <c r="L44" s="53">
        <v>38036.28</v>
      </c>
      <c r="M44" s="53">
        <v>19018.14</v>
      </c>
      <c r="N44" s="53">
        <v>19018.14</v>
      </c>
      <c r="O44" s="53">
        <f t="shared" si="0"/>
        <v>39900.057719999997</v>
      </c>
      <c r="P44" s="53">
        <f t="shared" si="1"/>
        <v>41655.66025968</v>
      </c>
      <c r="Q44" s="53">
        <f t="shared" si="2"/>
        <v>43530.164971365601</v>
      </c>
      <c r="S44" s="146">
        <f>'[1]6053MM'!$R$7</f>
        <v>39900.057719999997</v>
      </c>
    </row>
    <row r="45" spans="1:19" hidden="1" x14ac:dyDescent="0.25">
      <c r="A45" s="31" t="s">
        <v>1191</v>
      </c>
      <c r="B45" s="31"/>
      <c r="C45" s="31" t="s">
        <v>12</v>
      </c>
      <c r="D45" s="31" t="s">
        <v>162</v>
      </c>
      <c r="E45" s="31" t="s">
        <v>126</v>
      </c>
      <c r="F45" s="31"/>
      <c r="G45" s="31"/>
      <c r="H45" s="31"/>
      <c r="I45" s="32"/>
      <c r="J45" s="32"/>
      <c r="K45" s="32"/>
      <c r="L45" s="53">
        <v>0</v>
      </c>
      <c r="M45" s="53">
        <v>0</v>
      </c>
      <c r="N45" s="53">
        <v>0</v>
      </c>
      <c r="O45" s="53">
        <f t="shared" si="0"/>
        <v>0</v>
      </c>
      <c r="P45" s="53">
        <f t="shared" si="1"/>
        <v>0</v>
      </c>
      <c r="Q45" s="53">
        <f t="shared" si="2"/>
        <v>0</v>
      </c>
      <c r="S45" s="146"/>
    </row>
    <row r="46" spans="1:19" x14ac:dyDescent="0.25">
      <c r="A46" s="31"/>
      <c r="B46" s="31"/>
      <c r="C46" s="31"/>
      <c r="D46" s="31"/>
      <c r="E46" s="31"/>
      <c r="F46" s="31"/>
      <c r="G46" s="31"/>
      <c r="H46" s="31"/>
      <c r="I46" s="32"/>
      <c r="J46" s="32"/>
      <c r="K46" s="32"/>
      <c r="L46" s="53"/>
      <c r="M46" s="53"/>
      <c r="N46" s="53"/>
      <c r="O46" s="53"/>
      <c r="P46" s="53"/>
      <c r="Q46" s="53"/>
      <c r="S46" s="146"/>
    </row>
    <row r="47" spans="1:19" x14ac:dyDescent="0.25">
      <c r="A47" s="31" t="s">
        <v>29</v>
      </c>
      <c r="B47" s="31" t="s">
        <v>11</v>
      </c>
      <c r="C47" s="31" t="s">
        <v>12</v>
      </c>
      <c r="D47" s="31" t="s">
        <v>30</v>
      </c>
      <c r="E47" s="31" t="s">
        <v>14</v>
      </c>
      <c r="F47" s="31" t="s">
        <v>15</v>
      </c>
      <c r="G47" s="31" t="s">
        <v>16</v>
      </c>
      <c r="H47" s="31" t="s">
        <v>17</v>
      </c>
      <c r="I47" s="32" t="s">
        <v>18</v>
      </c>
      <c r="J47" s="32">
        <v>3</v>
      </c>
      <c r="K47" s="32"/>
      <c r="L47" s="53">
        <v>7126.5980136000007</v>
      </c>
      <c r="M47" s="53">
        <v>8983.2031999999999</v>
      </c>
      <c r="N47" s="53">
        <v>8983.2031999999999</v>
      </c>
      <c r="O47" s="53">
        <f t="shared" si="0"/>
        <v>7126.5980136000007</v>
      </c>
      <c r="P47" s="53">
        <f t="shared" si="1"/>
        <v>7440.1683261984008</v>
      </c>
      <c r="Q47" s="53">
        <f t="shared" si="2"/>
        <v>7774.9759008773281</v>
      </c>
      <c r="S47" s="146">
        <f>'[1]6053MM'!$Q$3</f>
        <v>7126.5980136000007</v>
      </c>
    </row>
    <row r="48" spans="1:19" x14ac:dyDescent="0.25">
      <c r="A48" s="31" t="s">
        <v>61</v>
      </c>
      <c r="B48" s="31" t="s">
        <v>11</v>
      </c>
      <c r="C48" s="31" t="s">
        <v>12</v>
      </c>
      <c r="D48" s="31" t="s">
        <v>30</v>
      </c>
      <c r="E48" s="31" t="s">
        <v>50</v>
      </c>
      <c r="F48" s="31" t="s">
        <v>15</v>
      </c>
      <c r="G48" s="31" t="s">
        <v>16</v>
      </c>
      <c r="H48" s="31" t="s">
        <v>17</v>
      </c>
      <c r="I48" s="32" t="s">
        <v>18</v>
      </c>
      <c r="J48" s="32">
        <v>3</v>
      </c>
      <c r="K48" s="32"/>
      <c r="L48" s="53">
        <v>7126.5980136000007</v>
      </c>
      <c r="M48" s="53">
        <v>1132.2844</v>
      </c>
      <c r="N48" s="53">
        <v>1132.2844</v>
      </c>
      <c r="O48" s="53">
        <f t="shared" si="0"/>
        <v>7126.5980136000007</v>
      </c>
      <c r="P48" s="53">
        <f t="shared" si="1"/>
        <v>7440.1683261984008</v>
      </c>
      <c r="Q48" s="53">
        <f t="shared" si="2"/>
        <v>7774.9759008773281</v>
      </c>
      <c r="S48" s="146">
        <f>'[1]6053MM'!$Q$8</f>
        <v>7126.5980136000007</v>
      </c>
    </row>
    <row r="49" spans="1:19" x14ac:dyDescent="0.25">
      <c r="A49" s="31" t="s">
        <v>78</v>
      </c>
      <c r="B49" s="31" t="s">
        <v>11</v>
      </c>
      <c r="C49" s="31" t="s">
        <v>12</v>
      </c>
      <c r="D49" s="31" t="s">
        <v>30</v>
      </c>
      <c r="E49" s="31" t="s">
        <v>69</v>
      </c>
      <c r="F49" s="31" t="s">
        <v>15</v>
      </c>
      <c r="G49" s="31" t="s">
        <v>16</v>
      </c>
      <c r="H49" s="31" t="s">
        <v>17</v>
      </c>
      <c r="I49" s="32" t="s">
        <v>18</v>
      </c>
      <c r="J49" s="32">
        <v>3</v>
      </c>
      <c r="K49" s="32"/>
      <c r="L49" s="53">
        <v>8415.6054371999999</v>
      </c>
      <c r="M49" s="53">
        <v>7427.6808000000001</v>
      </c>
      <c r="N49" s="53">
        <v>7427.6808000000001</v>
      </c>
      <c r="O49" s="53">
        <f t="shared" si="0"/>
        <v>7119.1031184000003</v>
      </c>
      <c r="P49" s="53">
        <f t="shared" si="1"/>
        <v>7432.3436556096003</v>
      </c>
      <c r="Q49" s="53">
        <f t="shared" si="2"/>
        <v>7766.7991201120321</v>
      </c>
      <c r="S49" s="146">
        <f>'[1]6053MM'!$Q$6</f>
        <v>7119.1031184000003</v>
      </c>
    </row>
    <row r="50" spans="1:19" x14ac:dyDescent="0.25">
      <c r="A50" s="31" t="s">
        <v>96</v>
      </c>
      <c r="B50" s="31" t="s">
        <v>11</v>
      </c>
      <c r="C50" s="31" t="s">
        <v>89</v>
      </c>
      <c r="D50" s="31" t="s">
        <v>30</v>
      </c>
      <c r="E50" s="31" t="s">
        <v>90</v>
      </c>
      <c r="F50" s="31" t="s">
        <v>15</v>
      </c>
      <c r="G50" s="31" t="s">
        <v>16</v>
      </c>
      <c r="H50" s="31" t="s">
        <v>17</v>
      </c>
      <c r="I50" s="32" t="s">
        <v>18</v>
      </c>
      <c r="J50" s="32">
        <v>3</v>
      </c>
      <c r="K50" s="32"/>
      <c r="L50" s="53">
        <v>8415.6054371999999</v>
      </c>
      <c r="M50" s="53">
        <v>8520.0113999999994</v>
      </c>
      <c r="N50" s="53">
        <v>8520.0113999999994</v>
      </c>
      <c r="O50" s="53">
        <f t="shared" si="0"/>
        <v>8415.6054371999999</v>
      </c>
      <c r="P50" s="53">
        <f t="shared" si="1"/>
        <v>8785.8920764367995</v>
      </c>
      <c r="Q50" s="53">
        <f t="shared" si="2"/>
        <v>9181.2572198764556</v>
      </c>
      <c r="S50" s="146">
        <f>'[1]6053MM'!$Q$4</f>
        <v>8415.6054371999999</v>
      </c>
    </row>
    <row r="51" spans="1:19" x14ac:dyDescent="0.25">
      <c r="A51" s="31" t="s">
        <v>118</v>
      </c>
      <c r="B51" s="31" t="s">
        <v>11</v>
      </c>
      <c r="C51" s="31" t="s">
        <v>12</v>
      </c>
      <c r="D51" s="31" t="s">
        <v>30</v>
      </c>
      <c r="E51" s="31" t="s">
        <v>107</v>
      </c>
      <c r="F51" s="31" t="s">
        <v>15</v>
      </c>
      <c r="G51" s="31" t="s">
        <v>16</v>
      </c>
      <c r="H51" s="31" t="s">
        <v>17</v>
      </c>
      <c r="I51" s="32" t="s">
        <v>18</v>
      </c>
      <c r="J51" s="32">
        <v>3</v>
      </c>
      <c r="K51" s="32"/>
      <c r="L51" s="53">
        <v>11431.080977999998</v>
      </c>
      <c r="M51" s="53">
        <v>12947.891</v>
      </c>
      <c r="N51" s="53">
        <v>12947.891</v>
      </c>
      <c r="O51" s="53">
        <f t="shared" si="0"/>
        <v>11431.080977999998</v>
      </c>
      <c r="P51" s="53">
        <f t="shared" si="1"/>
        <v>11934.048541031998</v>
      </c>
      <c r="Q51" s="53">
        <f t="shared" si="2"/>
        <v>12471.080725378437</v>
      </c>
      <c r="S51" s="146">
        <f>'[1]6053MM'!$Q$5</f>
        <v>11431.080977999998</v>
      </c>
    </row>
    <row r="52" spans="1:19" x14ac:dyDescent="0.25">
      <c r="A52" s="31" t="s">
        <v>132</v>
      </c>
      <c r="B52" s="31" t="s">
        <v>11</v>
      </c>
      <c r="C52" s="31" t="s">
        <v>12</v>
      </c>
      <c r="D52" s="31" t="s">
        <v>30</v>
      </c>
      <c r="E52" s="31" t="s">
        <v>126</v>
      </c>
      <c r="F52" s="31" t="s">
        <v>15</v>
      </c>
      <c r="G52" s="31" t="s">
        <v>16</v>
      </c>
      <c r="H52" s="31" t="s">
        <v>17</v>
      </c>
      <c r="I52" s="32" t="s">
        <v>18</v>
      </c>
      <c r="J52" s="32">
        <v>3</v>
      </c>
      <c r="K52" s="32"/>
      <c r="L52" s="53">
        <v>8415.6054371999999</v>
      </c>
      <c r="M52" s="53">
        <v>7803.7763999999997</v>
      </c>
      <c r="N52" s="53">
        <v>7803.7763999999997</v>
      </c>
      <c r="O52" s="53">
        <f t="shared" si="0"/>
        <v>7332.5024471999996</v>
      </c>
      <c r="P52" s="53">
        <f t="shared" si="1"/>
        <v>7655.1325548768</v>
      </c>
      <c r="Q52" s="53">
        <f t="shared" si="2"/>
        <v>7999.6135198462553</v>
      </c>
      <c r="S52" s="146">
        <f>'[1]6053MM'!$Q$7</f>
        <v>7332.5024471999996</v>
      </c>
    </row>
    <row r="53" spans="1:19" hidden="1" x14ac:dyDescent="0.25">
      <c r="A53" s="31" t="s">
        <v>119</v>
      </c>
      <c r="B53" s="31" t="s">
        <v>11</v>
      </c>
      <c r="C53" s="31" t="s">
        <v>12</v>
      </c>
      <c r="D53" s="31" t="s">
        <v>1634</v>
      </c>
      <c r="E53" s="31" t="s">
        <v>107</v>
      </c>
      <c r="F53" s="31" t="s">
        <v>121</v>
      </c>
      <c r="G53" s="31" t="s">
        <v>16</v>
      </c>
      <c r="H53" s="31" t="s">
        <v>17</v>
      </c>
      <c r="I53" s="32" t="s">
        <v>18</v>
      </c>
      <c r="J53" s="32">
        <v>3</v>
      </c>
      <c r="K53" s="32"/>
    </row>
    <row r="54" spans="1:19" x14ac:dyDescent="0.25">
      <c r="A54" s="31" t="s">
        <v>1190</v>
      </c>
      <c r="B54" s="31" t="s">
        <v>120</v>
      </c>
      <c r="C54" s="31" t="s">
        <v>12</v>
      </c>
      <c r="D54" s="31" t="s">
        <v>1634</v>
      </c>
      <c r="E54" s="31" t="s">
        <v>107</v>
      </c>
      <c r="F54" s="31"/>
      <c r="G54" s="31"/>
      <c r="H54" s="31"/>
      <c r="I54" s="32"/>
      <c r="J54" s="32"/>
      <c r="K54" s="32"/>
      <c r="L54" s="45">
        <v>10000</v>
      </c>
      <c r="M54" s="45">
        <v>10000</v>
      </c>
      <c r="N54" s="45">
        <v>10000</v>
      </c>
      <c r="O54" s="45">
        <v>10000</v>
      </c>
      <c r="P54" s="45">
        <v>10000</v>
      </c>
      <c r="Q54" s="45">
        <v>10000</v>
      </c>
    </row>
    <row r="55" spans="1:19" x14ac:dyDescent="0.25">
      <c r="A55" s="31" t="s">
        <v>19</v>
      </c>
      <c r="B55" s="31" t="s">
        <v>11</v>
      </c>
      <c r="C55" s="31" t="s">
        <v>12</v>
      </c>
      <c r="D55" s="31" t="s">
        <v>20</v>
      </c>
      <c r="E55" s="31" t="s">
        <v>14</v>
      </c>
      <c r="F55" s="31" t="s">
        <v>15</v>
      </c>
      <c r="G55" s="31" t="s">
        <v>16</v>
      </c>
      <c r="H55" s="31" t="s">
        <v>17</v>
      </c>
      <c r="I55" s="32" t="s">
        <v>18</v>
      </c>
      <c r="J55" s="32">
        <v>3</v>
      </c>
      <c r="K55" s="32"/>
      <c r="L55" s="45">
        <v>2000</v>
      </c>
      <c r="M55" s="45">
        <v>2000</v>
      </c>
      <c r="N55" s="45">
        <v>2000</v>
      </c>
      <c r="O55" s="45">
        <v>2000</v>
      </c>
      <c r="P55" s="45">
        <v>2000</v>
      </c>
      <c r="Q55" s="45">
        <v>2000</v>
      </c>
    </row>
    <row r="56" spans="1:19" x14ac:dyDescent="0.25">
      <c r="A56" s="31" t="s">
        <v>56</v>
      </c>
      <c r="B56" s="31" t="s">
        <v>11</v>
      </c>
      <c r="C56" s="31" t="s">
        <v>12</v>
      </c>
      <c r="D56" s="31" t="s">
        <v>20</v>
      </c>
      <c r="E56" s="31" t="s">
        <v>50</v>
      </c>
      <c r="F56" s="31" t="s">
        <v>15</v>
      </c>
      <c r="G56" s="31" t="s">
        <v>16</v>
      </c>
      <c r="H56" s="31" t="s">
        <v>17</v>
      </c>
      <c r="I56" s="32" t="s">
        <v>18</v>
      </c>
      <c r="J56" s="32">
        <v>3</v>
      </c>
      <c r="K56" s="32"/>
      <c r="L56" s="45">
        <v>2000</v>
      </c>
      <c r="M56" s="45">
        <v>2000</v>
      </c>
      <c r="N56" s="45">
        <v>2000</v>
      </c>
      <c r="O56" s="45">
        <v>2000</v>
      </c>
      <c r="P56" s="45">
        <v>2000</v>
      </c>
      <c r="Q56" s="45">
        <v>2000</v>
      </c>
    </row>
    <row r="57" spans="1:19" x14ac:dyDescent="0.25">
      <c r="A57" s="31" t="s">
        <v>73</v>
      </c>
      <c r="B57" s="31" t="s">
        <v>11</v>
      </c>
      <c r="C57" s="31" t="s">
        <v>12</v>
      </c>
      <c r="D57" s="31" t="s">
        <v>20</v>
      </c>
      <c r="E57" s="31" t="s">
        <v>69</v>
      </c>
      <c r="F57" s="31" t="s">
        <v>15</v>
      </c>
      <c r="G57" s="31" t="s">
        <v>16</v>
      </c>
      <c r="H57" s="31" t="s">
        <v>17</v>
      </c>
      <c r="I57" s="32" t="s">
        <v>18</v>
      </c>
      <c r="J57" s="32">
        <v>3</v>
      </c>
      <c r="K57" s="32"/>
      <c r="L57" s="45">
        <v>2000</v>
      </c>
      <c r="M57" s="45">
        <v>2000</v>
      </c>
      <c r="N57" s="45">
        <v>2000</v>
      </c>
      <c r="O57" s="45">
        <v>2000</v>
      </c>
      <c r="P57" s="45">
        <v>2000</v>
      </c>
      <c r="Q57" s="45">
        <v>2000</v>
      </c>
    </row>
    <row r="58" spans="1:19" x14ac:dyDescent="0.25">
      <c r="A58" s="31" t="s">
        <v>91</v>
      </c>
      <c r="B58" s="31" t="s">
        <v>11</v>
      </c>
      <c r="C58" s="31" t="s">
        <v>89</v>
      </c>
      <c r="D58" s="31" t="s">
        <v>20</v>
      </c>
      <c r="E58" s="31" t="s">
        <v>90</v>
      </c>
      <c r="F58" s="31" t="s">
        <v>15</v>
      </c>
      <c r="G58" s="31" t="s">
        <v>16</v>
      </c>
      <c r="H58" s="31" t="s">
        <v>17</v>
      </c>
      <c r="I58" s="32" t="s">
        <v>18</v>
      </c>
      <c r="J58" s="32">
        <v>3</v>
      </c>
      <c r="K58" s="32"/>
      <c r="L58" s="45">
        <v>2000</v>
      </c>
      <c r="M58" s="45">
        <v>2000</v>
      </c>
      <c r="N58" s="45">
        <v>2000</v>
      </c>
      <c r="O58" s="45">
        <v>2000</v>
      </c>
      <c r="P58" s="45">
        <v>2000</v>
      </c>
      <c r="Q58" s="45">
        <v>2000</v>
      </c>
    </row>
    <row r="59" spans="1:19" x14ac:dyDescent="0.25">
      <c r="A59" s="31" t="s">
        <v>110</v>
      </c>
      <c r="B59" s="31" t="s">
        <v>11</v>
      </c>
      <c r="C59" s="31" t="s">
        <v>12</v>
      </c>
      <c r="D59" s="31" t="s">
        <v>20</v>
      </c>
      <c r="E59" s="31" t="s">
        <v>107</v>
      </c>
      <c r="F59" s="31" t="s">
        <v>15</v>
      </c>
      <c r="G59" s="31" t="s">
        <v>16</v>
      </c>
      <c r="H59" s="31" t="s">
        <v>17</v>
      </c>
      <c r="I59" s="32" t="s">
        <v>18</v>
      </c>
      <c r="J59" s="32">
        <v>3</v>
      </c>
      <c r="K59" s="32"/>
      <c r="L59" s="45">
        <v>2500</v>
      </c>
      <c r="M59" s="45">
        <v>2500</v>
      </c>
      <c r="N59" s="45">
        <v>2500</v>
      </c>
      <c r="O59" s="45">
        <v>2500</v>
      </c>
      <c r="P59" s="45">
        <v>2500</v>
      </c>
      <c r="Q59" s="45">
        <v>2500</v>
      </c>
    </row>
    <row r="60" spans="1:19" x14ac:dyDescent="0.25">
      <c r="A60" s="31" t="s">
        <v>127</v>
      </c>
      <c r="B60" s="31" t="s">
        <v>11</v>
      </c>
      <c r="C60" s="31" t="s">
        <v>12</v>
      </c>
      <c r="D60" s="31" t="s">
        <v>20</v>
      </c>
      <c r="E60" s="31" t="s">
        <v>126</v>
      </c>
      <c r="F60" s="31" t="s">
        <v>15</v>
      </c>
      <c r="G60" s="31" t="s">
        <v>16</v>
      </c>
      <c r="H60" s="31" t="s">
        <v>17</v>
      </c>
      <c r="I60" s="32" t="s">
        <v>18</v>
      </c>
      <c r="J60" s="32">
        <v>3</v>
      </c>
      <c r="K60" s="32"/>
      <c r="L60" s="45">
        <v>2000</v>
      </c>
      <c r="M60" s="45">
        <v>2000</v>
      </c>
      <c r="N60" s="45">
        <v>2000</v>
      </c>
      <c r="O60" s="45">
        <v>2000</v>
      </c>
      <c r="P60" s="45">
        <v>2000</v>
      </c>
      <c r="Q60" s="45">
        <v>2000</v>
      </c>
    </row>
    <row r="61" spans="1:19" x14ac:dyDescent="0.25">
      <c r="A61" s="31" t="s">
        <v>23</v>
      </c>
      <c r="B61" s="31" t="s">
        <v>11</v>
      </c>
      <c r="C61" s="31" t="s">
        <v>12</v>
      </c>
      <c r="D61" s="31" t="s">
        <v>24</v>
      </c>
      <c r="E61" s="31" t="s">
        <v>14</v>
      </c>
      <c r="F61" s="31" t="s">
        <v>15</v>
      </c>
      <c r="G61" s="31" t="s">
        <v>16</v>
      </c>
      <c r="H61" s="31" t="s">
        <v>17</v>
      </c>
      <c r="I61" s="32" t="s">
        <v>18</v>
      </c>
      <c r="J61" s="32">
        <v>3</v>
      </c>
      <c r="K61" s="32"/>
      <c r="L61" s="45">
        <v>1500</v>
      </c>
      <c r="M61" s="45">
        <v>4000</v>
      </c>
      <c r="N61" s="45">
        <v>4000</v>
      </c>
      <c r="O61" s="45">
        <v>4000</v>
      </c>
      <c r="P61" s="45">
        <v>4000</v>
      </c>
      <c r="Q61" s="45">
        <v>4000</v>
      </c>
    </row>
    <row r="62" spans="1:19" x14ac:dyDescent="0.25">
      <c r="A62" s="31" t="s">
        <v>58</v>
      </c>
      <c r="B62" s="31" t="s">
        <v>11</v>
      </c>
      <c r="C62" s="31" t="s">
        <v>12</v>
      </c>
      <c r="D62" s="31" t="s">
        <v>24</v>
      </c>
      <c r="E62" s="31" t="s">
        <v>50</v>
      </c>
      <c r="F62" s="31" t="s">
        <v>15</v>
      </c>
      <c r="G62" s="31" t="s">
        <v>16</v>
      </c>
      <c r="H62" s="31" t="s">
        <v>17</v>
      </c>
      <c r="I62" s="32" t="s">
        <v>18</v>
      </c>
      <c r="J62" s="32">
        <v>3</v>
      </c>
      <c r="K62" s="32"/>
      <c r="L62" s="45">
        <v>1500</v>
      </c>
      <c r="M62" s="45">
        <v>1500</v>
      </c>
      <c r="N62" s="45">
        <v>1500</v>
      </c>
      <c r="O62" s="45">
        <v>1500</v>
      </c>
      <c r="P62" s="45">
        <v>1500</v>
      </c>
      <c r="Q62" s="45">
        <v>1500</v>
      </c>
    </row>
    <row r="63" spans="1:19" x14ac:dyDescent="0.25">
      <c r="A63" s="31" t="s">
        <v>75</v>
      </c>
      <c r="B63" s="31" t="s">
        <v>11</v>
      </c>
      <c r="C63" s="31" t="s">
        <v>12</v>
      </c>
      <c r="D63" s="31" t="s">
        <v>24</v>
      </c>
      <c r="E63" s="31" t="s">
        <v>69</v>
      </c>
      <c r="F63" s="31" t="s">
        <v>15</v>
      </c>
      <c r="G63" s="31" t="s">
        <v>16</v>
      </c>
      <c r="H63" s="31" t="s">
        <v>17</v>
      </c>
      <c r="I63" s="32" t="s">
        <v>18</v>
      </c>
      <c r="J63" s="32">
        <v>3</v>
      </c>
      <c r="K63" s="32"/>
      <c r="L63" s="45">
        <v>1500</v>
      </c>
      <c r="M63" s="45">
        <v>2500</v>
      </c>
      <c r="N63" s="45">
        <v>2500</v>
      </c>
      <c r="O63" s="45">
        <v>2500</v>
      </c>
      <c r="P63" s="45">
        <v>2500</v>
      </c>
      <c r="Q63" s="45">
        <v>2500</v>
      </c>
    </row>
    <row r="64" spans="1:19" x14ac:dyDescent="0.25">
      <c r="A64" s="31" t="s">
        <v>93</v>
      </c>
      <c r="B64" s="31" t="s">
        <v>11</v>
      </c>
      <c r="C64" s="31" t="s">
        <v>89</v>
      </c>
      <c r="D64" s="31" t="s">
        <v>24</v>
      </c>
      <c r="E64" s="31" t="s">
        <v>90</v>
      </c>
      <c r="F64" s="31" t="s">
        <v>15</v>
      </c>
      <c r="G64" s="31" t="s">
        <v>16</v>
      </c>
      <c r="H64" s="31" t="s">
        <v>17</v>
      </c>
      <c r="I64" s="32" t="s">
        <v>18</v>
      </c>
      <c r="J64" s="32">
        <v>3</v>
      </c>
      <c r="K64" s="32"/>
      <c r="L64" s="45">
        <v>1500</v>
      </c>
      <c r="M64" s="45">
        <v>1500</v>
      </c>
      <c r="N64" s="45">
        <v>1500</v>
      </c>
      <c r="O64" s="45">
        <v>1500</v>
      </c>
      <c r="P64" s="45">
        <v>1500</v>
      </c>
      <c r="Q64" s="45">
        <v>1500</v>
      </c>
    </row>
    <row r="65" spans="1:17" x14ac:dyDescent="0.25">
      <c r="A65" s="31" t="s">
        <v>112</v>
      </c>
      <c r="B65" s="31" t="s">
        <v>11</v>
      </c>
      <c r="C65" s="31" t="s">
        <v>12</v>
      </c>
      <c r="D65" s="31" t="s">
        <v>24</v>
      </c>
      <c r="E65" s="31" t="s">
        <v>107</v>
      </c>
      <c r="F65" s="31" t="s">
        <v>15</v>
      </c>
      <c r="G65" s="31" t="s">
        <v>16</v>
      </c>
      <c r="H65" s="31" t="s">
        <v>17</v>
      </c>
      <c r="I65" s="32" t="s">
        <v>18</v>
      </c>
      <c r="J65" s="32">
        <v>3</v>
      </c>
      <c r="K65" s="32"/>
      <c r="L65" s="45">
        <v>1500</v>
      </c>
      <c r="M65" s="45">
        <v>1500</v>
      </c>
      <c r="N65" s="45">
        <v>1500</v>
      </c>
      <c r="O65" s="45">
        <v>1500</v>
      </c>
      <c r="P65" s="45">
        <v>1500</v>
      </c>
      <c r="Q65" s="45">
        <v>1500</v>
      </c>
    </row>
    <row r="66" spans="1:17" x14ac:dyDescent="0.25">
      <c r="A66" s="31" t="s">
        <v>129</v>
      </c>
      <c r="B66" s="31" t="s">
        <v>11</v>
      </c>
      <c r="C66" s="31" t="s">
        <v>12</v>
      </c>
      <c r="D66" s="31" t="s">
        <v>24</v>
      </c>
      <c r="E66" s="31" t="s">
        <v>126</v>
      </c>
      <c r="F66" s="31" t="s">
        <v>15</v>
      </c>
      <c r="G66" s="31" t="s">
        <v>16</v>
      </c>
      <c r="H66" s="31" t="s">
        <v>17</v>
      </c>
      <c r="I66" s="32" t="s">
        <v>18</v>
      </c>
      <c r="J66" s="32">
        <v>3</v>
      </c>
      <c r="K66" s="32"/>
      <c r="L66" s="45">
        <v>1500</v>
      </c>
      <c r="M66" s="45">
        <v>1500</v>
      </c>
      <c r="N66" s="45">
        <v>1500</v>
      </c>
      <c r="O66" s="45">
        <v>1500</v>
      </c>
      <c r="P66" s="45">
        <v>1500</v>
      </c>
      <c r="Q66" s="45">
        <v>1500</v>
      </c>
    </row>
    <row r="67" spans="1:17" x14ac:dyDescent="0.25">
      <c r="A67" s="31" t="s">
        <v>27</v>
      </c>
      <c r="B67" s="31" t="s">
        <v>11</v>
      </c>
      <c r="C67" s="31" t="s">
        <v>12</v>
      </c>
      <c r="D67" s="31" t="s">
        <v>28</v>
      </c>
      <c r="E67" s="31" t="s">
        <v>14</v>
      </c>
      <c r="F67" s="31" t="s">
        <v>15</v>
      </c>
      <c r="G67" s="31" t="s">
        <v>16</v>
      </c>
      <c r="H67" s="31" t="s">
        <v>17</v>
      </c>
      <c r="I67" s="32" t="s">
        <v>18</v>
      </c>
      <c r="J67" s="32">
        <v>3</v>
      </c>
      <c r="K67" s="32"/>
      <c r="L67" s="45">
        <v>15000</v>
      </c>
      <c r="M67" s="45">
        <v>40000</v>
      </c>
      <c r="N67" s="45">
        <v>40000</v>
      </c>
      <c r="O67" s="45">
        <v>40000</v>
      </c>
      <c r="P67" s="45">
        <v>40000</v>
      </c>
      <c r="Q67" s="45">
        <v>40000</v>
      </c>
    </row>
    <row r="68" spans="1:17" x14ac:dyDescent="0.25">
      <c r="A68" s="31" t="s">
        <v>60</v>
      </c>
      <c r="B68" s="31" t="s">
        <v>11</v>
      </c>
      <c r="C68" s="31" t="s">
        <v>12</v>
      </c>
      <c r="D68" s="31" t="s">
        <v>28</v>
      </c>
      <c r="E68" s="31" t="s">
        <v>50</v>
      </c>
      <c r="F68" s="31" t="s">
        <v>15</v>
      </c>
      <c r="G68" s="31" t="s">
        <v>16</v>
      </c>
      <c r="H68" s="31" t="s">
        <v>17</v>
      </c>
      <c r="I68" s="32" t="s">
        <v>18</v>
      </c>
      <c r="J68" s="32">
        <v>3</v>
      </c>
      <c r="K68" s="32"/>
      <c r="L68" s="45">
        <v>15000</v>
      </c>
      <c r="M68" s="45">
        <v>15000</v>
      </c>
      <c r="N68" s="45">
        <v>15000</v>
      </c>
      <c r="O68" s="45">
        <v>15000</v>
      </c>
      <c r="P68" s="45">
        <v>15000</v>
      </c>
      <c r="Q68" s="45">
        <v>15000</v>
      </c>
    </row>
    <row r="69" spans="1:17" x14ac:dyDescent="0.25">
      <c r="A69" s="31" t="s">
        <v>77</v>
      </c>
      <c r="B69" s="31" t="s">
        <v>11</v>
      </c>
      <c r="C69" s="31" t="s">
        <v>12</v>
      </c>
      <c r="D69" s="31" t="s">
        <v>28</v>
      </c>
      <c r="E69" s="31" t="s">
        <v>69</v>
      </c>
      <c r="F69" s="31" t="s">
        <v>15</v>
      </c>
      <c r="G69" s="31" t="s">
        <v>16</v>
      </c>
      <c r="H69" s="31" t="s">
        <v>17</v>
      </c>
      <c r="I69" s="32" t="s">
        <v>18</v>
      </c>
      <c r="J69" s="32">
        <v>3</v>
      </c>
      <c r="K69" s="32"/>
      <c r="L69" s="45">
        <v>15000</v>
      </c>
      <c r="M69" s="45">
        <v>25000</v>
      </c>
      <c r="N69" s="45">
        <v>25000</v>
      </c>
      <c r="O69" s="45">
        <v>25000</v>
      </c>
      <c r="P69" s="45">
        <v>25000</v>
      </c>
      <c r="Q69" s="45">
        <v>25000</v>
      </c>
    </row>
    <row r="70" spans="1:17" x14ac:dyDescent="0.25">
      <c r="A70" s="31" t="s">
        <v>95</v>
      </c>
      <c r="B70" s="31" t="s">
        <v>11</v>
      </c>
      <c r="C70" s="31" t="s">
        <v>89</v>
      </c>
      <c r="D70" s="31" t="s">
        <v>28</v>
      </c>
      <c r="E70" s="31" t="s">
        <v>90</v>
      </c>
      <c r="F70" s="31" t="s">
        <v>15</v>
      </c>
      <c r="G70" s="31" t="s">
        <v>16</v>
      </c>
      <c r="H70" s="31" t="s">
        <v>17</v>
      </c>
      <c r="I70" s="32" t="s">
        <v>18</v>
      </c>
      <c r="J70" s="32">
        <v>3</v>
      </c>
      <c r="K70" s="32"/>
      <c r="L70" s="45">
        <v>15000</v>
      </c>
      <c r="M70" s="45">
        <v>16000</v>
      </c>
      <c r="N70" s="45">
        <v>16000</v>
      </c>
      <c r="O70" s="45">
        <v>16000</v>
      </c>
      <c r="P70" s="45">
        <v>16000</v>
      </c>
      <c r="Q70" s="45">
        <v>16000</v>
      </c>
    </row>
    <row r="71" spans="1:17" x14ac:dyDescent="0.25">
      <c r="A71" s="31" t="s">
        <v>117</v>
      </c>
      <c r="B71" s="31" t="s">
        <v>11</v>
      </c>
      <c r="C71" s="31" t="s">
        <v>12</v>
      </c>
      <c r="D71" s="31" t="s">
        <v>28</v>
      </c>
      <c r="E71" s="31" t="s">
        <v>107</v>
      </c>
      <c r="F71" s="31" t="s">
        <v>15</v>
      </c>
      <c r="G71" s="31" t="s">
        <v>16</v>
      </c>
      <c r="H71" s="31" t="s">
        <v>17</v>
      </c>
      <c r="I71" s="32" t="s">
        <v>18</v>
      </c>
      <c r="J71" s="32">
        <v>3</v>
      </c>
      <c r="K71" s="32"/>
      <c r="L71" s="45">
        <v>20000</v>
      </c>
      <c r="M71" s="45">
        <v>20000</v>
      </c>
      <c r="N71" s="45">
        <v>20000</v>
      </c>
      <c r="O71" s="45">
        <v>20000</v>
      </c>
      <c r="P71" s="45">
        <v>20000</v>
      </c>
      <c r="Q71" s="45">
        <v>20000</v>
      </c>
    </row>
    <row r="72" spans="1:17" x14ac:dyDescent="0.25">
      <c r="A72" s="31" t="s">
        <v>131</v>
      </c>
      <c r="B72" s="31" t="s">
        <v>11</v>
      </c>
      <c r="C72" s="31" t="s">
        <v>12</v>
      </c>
      <c r="D72" s="31" t="s">
        <v>28</v>
      </c>
      <c r="E72" s="31" t="s">
        <v>126</v>
      </c>
      <c r="F72" s="31" t="s">
        <v>15</v>
      </c>
      <c r="G72" s="31" t="s">
        <v>16</v>
      </c>
      <c r="H72" s="31" t="s">
        <v>17</v>
      </c>
      <c r="I72" s="32" t="s">
        <v>18</v>
      </c>
      <c r="J72" s="32">
        <v>3</v>
      </c>
      <c r="K72" s="32"/>
      <c r="L72" s="45">
        <v>15000</v>
      </c>
      <c r="M72" s="45">
        <v>15000</v>
      </c>
      <c r="N72" s="45">
        <v>15000</v>
      </c>
      <c r="O72" s="45">
        <v>15000</v>
      </c>
      <c r="P72" s="45">
        <v>15000</v>
      </c>
      <c r="Q72" s="45">
        <v>15000</v>
      </c>
    </row>
    <row r="73" spans="1:17" x14ac:dyDescent="0.25">
      <c r="A73" s="31" t="s">
        <v>10</v>
      </c>
      <c r="B73" s="31" t="s">
        <v>11</v>
      </c>
      <c r="C73" s="31" t="s">
        <v>12</v>
      </c>
      <c r="D73" s="31" t="s">
        <v>13</v>
      </c>
      <c r="E73" s="31" t="s">
        <v>14</v>
      </c>
      <c r="F73" s="31" t="s">
        <v>15</v>
      </c>
      <c r="G73" s="31" t="s">
        <v>16</v>
      </c>
      <c r="H73" s="31" t="s">
        <v>17</v>
      </c>
      <c r="I73" s="32" t="s">
        <v>18</v>
      </c>
      <c r="J73" s="32">
        <v>3</v>
      </c>
      <c r="K73" s="32"/>
      <c r="L73" s="45">
        <v>15000</v>
      </c>
      <c r="M73" s="45">
        <v>15000</v>
      </c>
      <c r="N73" s="45">
        <v>15000</v>
      </c>
      <c r="O73" s="45">
        <v>15000</v>
      </c>
      <c r="P73" s="45">
        <v>15000</v>
      </c>
      <c r="Q73" s="45">
        <v>15000</v>
      </c>
    </row>
    <row r="74" spans="1:17" x14ac:dyDescent="0.25">
      <c r="A74" s="31" t="s">
        <v>55</v>
      </c>
      <c r="B74" s="31" t="s">
        <v>11</v>
      </c>
      <c r="C74" s="31" t="s">
        <v>12</v>
      </c>
      <c r="D74" s="31" t="s">
        <v>13</v>
      </c>
      <c r="E74" s="31" t="s">
        <v>50</v>
      </c>
      <c r="F74" s="31" t="s">
        <v>15</v>
      </c>
      <c r="G74" s="31" t="s">
        <v>16</v>
      </c>
      <c r="H74" s="31" t="s">
        <v>17</v>
      </c>
      <c r="I74" s="32" t="s">
        <v>18</v>
      </c>
      <c r="J74" s="32">
        <v>3</v>
      </c>
      <c r="K74" s="32"/>
      <c r="L74" s="45">
        <v>25000</v>
      </c>
      <c r="M74" s="45">
        <v>25000</v>
      </c>
      <c r="N74" s="45">
        <v>25000</v>
      </c>
      <c r="O74" s="45">
        <v>25000</v>
      </c>
      <c r="P74" s="45">
        <v>25000</v>
      </c>
      <c r="Q74" s="45">
        <v>25000</v>
      </c>
    </row>
    <row r="75" spans="1:17" x14ac:dyDescent="0.25">
      <c r="A75" s="31" t="s">
        <v>72</v>
      </c>
      <c r="B75" s="31" t="s">
        <v>11</v>
      </c>
      <c r="C75" s="31" t="s">
        <v>12</v>
      </c>
      <c r="D75" s="31" t="s">
        <v>13</v>
      </c>
      <c r="E75" s="31" t="s">
        <v>69</v>
      </c>
      <c r="F75" s="31" t="s">
        <v>15</v>
      </c>
      <c r="G75" s="31" t="s">
        <v>16</v>
      </c>
      <c r="H75" s="31" t="s">
        <v>17</v>
      </c>
      <c r="I75" s="32" t="s">
        <v>18</v>
      </c>
      <c r="J75" s="32">
        <v>3</v>
      </c>
      <c r="K75" s="32"/>
      <c r="L75" s="45">
        <v>15000</v>
      </c>
      <c r="M75" s="45">
        <v>25000</v>
      </c>
      <c r="N75" s="45">
        <v>25000</v>
      </c>
      <c r="O75" s="45">
        <v>25000</v>
      </c>
      <c r="P75" s="45">
        <v>25000</v>
      </c>
      <c r="Q75" s="45">
        <v>25000</v>
      </c>
    </row>
    <row r="76" spans="1:17" x14ac:dyDescent="0.25">
      <c r="A76" s="31" t="s">
        <v>88</v>
      </c>
      <c r="B76" s="31" t="s">
        <v>11</v>
      </c>
      <c r="C76" s="31" t="s">
        <v>89</v>
      </c>
      <c r="D76" s="31" t="s">
        <v>13</v>
      </c>
      <c r="E76" s="31" t="s">
        <v>90</v>
      </c>
      <c r="F76" s="31" t="s">
        <v>15</v>
      </c>
      <c r="G76" s="31" t="s">
        <v>16</v>
      </c>
      <c r="H76" s="31" t="s">
        <v>17</v>
      </c>
      <c r="I76" s="32" t="s">
        <v>18</v>
      </c>
      <c r="J76" s="32">
        <v>3</v>
      </c>
      <c r="K76" s="32"/>
      <c r="L76" s="45">
        <v>15000</v>
      </c>
      <c r="M76" s="45">
        <v>20000</v>
      </c>
      <c r="N76" s="45">
        <v>20000</v>
      </c>
      <c r="O76" s="45">
        <v>20000</v>
      </c>
      <c r="P76" s="45">
        <v>20000</v>
      </c>
      <c r="Q76" s="45">
        <v>20000</v>
      </c>
    </row>
    <row r="77" spans="1:17" x14ac:dyDescent="0.25">
      <c r="A77" s="31" t="s">
        <v>109</v>
      </c>
      <c r="B77" s="31" t="s">
        <v>11</v>
      </c>
      <c r="C77" s="31" t="s">
        <v>12</v>
      </c>
      <c r="D77" s="31" t="s">
        <v>13</v>
      </c>
      <c r="E77" s="31" t="s">
        <v>107</v>
      </c>
      <c r="F77" s="31" t="s">
        <v>15</v>
      </c>
      <c r="G77" s="31" t="s">
        <v>16</v>
      </c>
      <c r="H77" s="31" t="s">
        <v>17</v>
      </c>
      <c r="I77" s="32" t="s">
        <v>18</v>
      </c>
      <c r="J77" s="32">
        <v>3</v>
      </c>
      <c r="K77" s="32"/>
      <c r="L77" s="45">
        <v>25000</v>
      </c>
      <c r="M77" s="45">
        <v>25000</v>
      </c>
      <c r="N77" s="45">
        <v>25000</v>
      </c>
      <c r="O77" s="45">
        <v>25000</v>
      </c>
      <c r="P77" s="45">
        <v>25000</v>
      </c>
      <c r="Q77" s="45">
        <v>25000</v>
      </c>
    </row>
    <row r="78" spans="1:17" x14ac:dyDescent="0.25">
      <c r="A78" s="31" t="s">
        <v>125</v>
      </c>
      <c r="B78" s="31" t="s">
        <v>11</v>
      </c>
      <c r="C78" s="31" t="s">
        <v>12</v>
      </c>
      <c r="D78" s="31" t="s">
        <v>13</v>
      </c>
      <c r="E78" s="31" t="s">
        <v>126</v>
      </c>
      <c r="F78" s="31" t="s">
        <v>15</v>
      </c>
      <c r="G78" s="31" t="s">
        <v>16</v>
      </c>
      <c r="H78" s="31" t="s">
        <v>17</v>
      </c>
      <c r="I78" s="32" t="s">
        <v>18</v>
      </c>
      <c r="J78" s="32">
        <v>3</v>
      </c>
      <c r="K78" s="32"/>
      <c r="L78" s="45">
        <v>15000</v>
      </c>
      <c r="M78" s="45">
        <v>25000</v>
      </c>
      <c r="N78" s="45">
        <v>25000</v>
      </c>
      <c r="O78" s="45">
        <v>25000</v>
      </c>
      <c r="P78" s="45">
        <v>25000</v>
      </c>
      <c r="Q78" s="45">
        <v>25000</v>
      </c>
    </row>
    <row r="79" spans="1:17" x14ac:dyDescent="0.25">
      <c r="A79" s="31" t="s">
        <v>25</v>
      </c>
      <c r="B79" s="31" t="s">
        <v>11</v>
      </c>
      <c r="C79" s="31" t="s">
        <v>12</v>
      </c>
      <c r="D79" s="31" t="s">
        <v>26</v>
      </c>
      <c r="E79" s="31" t="s">
        <v>14</v>
      </c>
      <c r="F79" s="31" t="s">
        <v>15</v>
      </c>
      <c r="G79" s="31" t="s">
        <v>16</v>
      </c>
      <c r="H79" s="31" t="s">
        <v>17</v>
      </c>
      <c r="I79" s="32" t="s">
        <v>18</v>
      </c>
      <c r="J79" s="32">
        <v>3</v>
      </c>
      <c r="K79" s="32"/>
      <c r="L79" s="45">
        <v>3000</v>
      </c>
      <c r="M79" s="45">
        <v>0</v>
      </c>
      <c r="N79" s="45">
        <v>0</v>
      </c>
      <c r="O79" s="45">
        <v>3000</v>
      </c>
      <c r="P79" s="45">
        <v>3000</v>
      </c>
      <c r="Q79" s="45">
        <v>3000</v>
      </c>
    </row>
    <row r="80" spans="1:17" x14ac:dyDescent="0.25">
      <c r="A80" s="31" t="s">
        <v>59</v>
      </c>
      <c r="B80" s="31" t="s">
        <v>11</v>
      </c>
      <c r="C80" s="31" t="s">
        <v>12</v>
      </c>
      <c r="D80" s="31" t="s">
        <v>26</v>
      </c>
      <c r="E80" s="31" t="s">
        <v>50</v>
      </c>
      <c r="F80" s="31" t="s">
        <v>15</v>
      </c>
      <c r="G80" s="31" t="s">
        <v>16</v>
      </c>
      <c r="H80" s="31" t="s">
        <v>17</v>
      </c>
      <c r="I80" s="32" t="s">
        <v>18</v>
      </c>
      <c r="J80" s="32">
        <v>3</v>
      </c>
      <c r="K80" s="32"/>
      <c r="L80" s="45">
        <v>3000</v>
      </c>
      <c r="M80" s="45">
        <v>0</v>
      </c>
      <c r="N80" s="45">
        <v>0</v>
      </c>
      <c r="O80" s="45">
        <v>3000</v>
      </c>
      <c r="P80" s="45">
        <v>3000</v>
      </c>
      <c r="Q80" s="45">
        <v>3000</v>
      </c>
    </row>
    <row r="81" spans="1:17" x14ac:dyDescent="0.25">
      <c r="A81" s="31" t="s">
        <v>76</v>
      </c>
      <c r="B81" s="31" t="s">
        <v>11</v>
      </c>
      <c r="C81" s="31" t="s">
        <v>12</v>
      </c>
      <c r="D81" s="31" t="s">
        <v>26</v>
      </c>
      <c r="E81" s="31" t="s">
        <v>69</v>
      </c>
      <c r="F81" s="31" t="s">
        <v>15</v>
      </c>
      <c r="G81" s="31" t="s">
        <v>16</v>
      </c>
      <c r="H81" s="31" t="s">
        <v>17</v>
      </c>
      <c r="I81" s="32" t="s">
        <v>18</v>
      </c>
      <c r="J81" s="32">
        <v>3</v>
      </c>
      <c r="K81" s="32"/>
      <c r="L81" s="45">
        <v>3000</v>
      </c>
      <c r="M81" s="45">
        <v>0</v>
      </c>
      <c r="N81" s="45">
        <v>0</v>
      </c>
      <c r="O81" s="45">
        <v>3000</v>
      </c>
      <c r="P81" s="45">
        <v>3000</v>
      </c>
      <c r="Q81" s="45">
        <v>3000</v>
      </c>
    </row>
    <row r="82" spans="1:17" x14ac:dyDescent="0.25">
      <c r="A82" s="31" t="s">
        <v>94</v>
      </c>
      <c r="B82" s="31" t="s">
        <v>11</v>
      </c>
      <c r="C82" s="31" t="s">
        <v>89</v>
      </c>
      <c r="D82" s="31" t="s">
        <v>26</v>
      </c>
      <c r="E82" s="31" t="s">
        <v>90</v>
      </c>
      <c r="F82" s="31" t="s">
        <v>15</v>
      </c>
      <c r="G82" s="31" t="s">
        <v>16</v>
      </c>
      <c r="H82" s="31" t="s">
        <v>17</v>
      </c>
      <c r="I82" s="32" t="s">
        <v>18</v>
      </c>
      <c r="J82" s="32">
        <v>3</v>
      </c>
      <c r="K82" s="32"/>
      <c r="L82" s="45">
        <v>3000</v>
      </c>
      <c r="M82" s="45">
        <v>0</v>
      </c>
      <c r="N82" s="45">
        <v>0</v>
      </c>
      <c r="O82" s="45">
        <v>3000</v>
      </c>
      <c r="P82" s="45">
        <v>3000</v>
      </c>
      <c r="Q82" s="45">
        <v>3000</v>
      </c>
    </row>
    <row r="83" spans="1:17" x14ac:dyDescent="0.25">
      <c r="A83" s="31" t="s">
        <v>116</v>
      </c>
      <c r="B83" s="31" t="s">
        <v>11</v>
      </c>
      <c r="C83" s="31" t="s">
        <v>12</v>
      </c>
      <c r="D83" s="31" t="s">
        <v>26</v>
      </c>
      <c r="E83" s="31" t="s">
        <v>107</v>
      </c>
      <c r="F83" s="31" t="s">
        <v>15</v>
      </c>
      <c r="G83" s="31" t="s">
        <v>16</v>
      </c>
      <c r="H83" s="31" t="s">
        <v>17</v>
      </c>
      <c r="I83" s="32" t="s">
        <v>18</v>
      </c>
      <c r="J83" s="32">
        <v>3</v>
      </c>
      <c r="K83" s="32"/>
      <c r="L83" s="45">
        <v>6000</v>
      </c>
      <c r="M83" s="45">
        <v>5000</v>
      </c>
      <c r="N83" s="45">
        <v>5000</v>
      </c>
      <c r="O83" s="45">
        <v>5000</v>
      </c>
      <c r="P83" s="45">
        <v>5000</v>
      </c>
      <c r="Q83" s="45">
        <v>5000</v>
      </c>
    </row>
    <row r="84" spans="1:17" x14ac:dyDescent="0.25">
      <c r="A84" s="31" t="s">
        <v>130</v>
      </c>
      <c r="B84" s="31" t="s">
        <v>11</v>
      </c>
      <c r="C84" s="31" t="s">
        <v>12</v>
      </c>
      <c r="D84" s="31" t="s">
        <v>26</v>
      </c>
      <c r="E84" s="31" t="s">
        <v>126</v>
      </c>
      <c r="F84" s="31" t="s">
        <v>15</v>
      </c>
      <c r="G84" s="31" t="s">
        <v>16</v>
      </c>
      <c r="H84" s="31" t="s">
        <v>17</v>
      </c>
      <c r="I84" s="32" t="s">
        <v>18</v>
      </c>
      <c r="J84" s="32">
        <v>3</v>
      </c>
      <c r="K84" s="32"/>
      <c r="L84" s="45">
        <v>3000</v>
      </c>
      <c r="M84" s="45">
        <v>0</v>
      </c>
      <c r="N84" s="45">
        <v>0</v>
      </c>
      <c r="O84" s="45">
        <v>2000</v>
      </c>
      <c r="P84" s="45">
        <v>2000</v>
      </c>
      <c r="Q84" s="45">
        <v>2000</v>
      </c>
    </row>
    <row r="85" spans="1:17" x14ac:dyDescent="0.25">
      <c r="A85" s="31" t="s">
        <v>31</v>
      </c>
      <c r="B85" s="31" t="s">
        <v>11</v>
      </c>
      <c r="C85" s="31" t="s">
        <v>12</v>
      </c>
      <c r="D85" s="31" t="s">
        <v>32</v>
      </c>
      <c r="E85" s="31" t="s">
        <v>14</v>
      </c>
      <c r="F85" s="31" t="s">
        <v>15</v>
      </c>
      <c r="G85" s="31" t="s">
        <v>16</v>
      </c>
      <c r="H85" s="31" t="s">
        <v>17</v>
      </c>
      <c r="I85" s="32" t="s">
        <v>18</v>
      </c>
      <c r="J85" s="32">
        <v>3</v>
      </c>
      <c r="K85" s="32"/>
      <c r="L85" s="45">
        <v>3000</v>
      </c>
      <c r="M85" s="45">
        <v>0</v>
      </c>
      <c r="N85" s="45">
        <v>0</v>
      </c>
      <c r="O85" s="45">
        <v>2000</v>
      </c>
      <c r="P85" s="45">
        <v>2000</v>
      </c>
      <c r="Q85" s="45">
        <v>2000</v>
      </c>
    </row>
    <row r="86" spans="1:17" x14ac:dyDescent="0.25">
      <c r="A86" s="31" t="s">
        <v>62</v>
      </c>
      <c r="B86" s="31" t="s">
        <v>11</v>
      </c>
      <c r="C86" s="31" t="s">
        <v>12</v>
      </c>
      <c r="D86" s="31" t="s">
        <v>32</v>
      </c>
      <c r="E86" s="31" t="s">
        <v>50</v>
      </c>
      <c r="F86" s="31" t="s">
        <v>15</v>
      </c>
      <c r="G86" s="31" t="s">
        <v>16</v>
      </c>
      <c r="H86" s="31" t="s">
        <v>17</v>
      </c>
      <c r="I86" s="32" t="s">
        <v>18</v>
      </c>
      <c r="J86" s="32">
        <v>3</v>
      </c>
      <c r="K86" s="32"/>
      <c r="L86" s="45">
        <v>3000</v>
      </c>
      <c r="M86" s="45">
        <v>0</v>
      </c>
      <c r="N86" s="45">
        <v>0</v>
      </c>
      <c r="O86" s="45">
        <v>2000</v>
      </c>
      <c r="P86" s="45">
        <v>2000</v>
      </c>
      <c r="Q86" s="45">
        <v>2000</v>
      </c>
    </row>
    <row r="87" spans="1:17" x14ac:dyDescent="0.25">
      <c r="A87" s="31" t="s">
        <v>79</v>
      </c>
      <c r="B87" s="31" t="s">
        <v>11</v>
      </c>
      <c r="C87" s="31" t="s">
        <v>12</v>
      </c>
      <c r="D87" s="31" t="s">
        <v>32</v>
      </c>
      <c r="E87" s="31" t="s">
        <v>69</v>
      </c>
      <c r="F87" s="31" t="s">
        <v>15</v>
      </c>
      <c r="G87" s="31" t="s">
        <v>16</v>
      </c>
      <c r="H87" s="31" t="s">
        <v>17</v>
      </c>
      <c r="I87" s="32" t="s">
        <v>18</v>
      </c>
      <c r="J87" s="32">
        <v>3</v>
      </c>
      <c r="K87" s="32"/>
      <c r="L87" s="45">
        <v>3000</v>
      </c>
      <c r="M87" s="45">
        <v>0</v>
      </c>
      <c r="N87" s="45">
        <v>0</v>
      </c>
      <c r="O87" s="45">
        <v>2000</v>
      </c>
      <c r="P87" s="45">
        <v>2000</v>
      </c>
      <c r="Q87" s="45">
        <v>2000</v>
      </c>
    </row>
    <row r="88" spans="1:17" x14ac:dyDescent="0.25">
      <c r="A88" s="31" t="s">
        <v>97</v>
      </c>
      <c r="B88" s="31" t="s">
        <v>11</v>
      </c>
      <c r="C88" s="31" t="s">
        <v>89</v>
      </c>
      <c r="D88" s="31" t="s">
        <v>32</v>
      </c>
      <c r="E88" s="31" t="s">
        <v>90</v>
      </c>
      <c r="F88" s="31" t="s">
        <v>15</v>
      </c>
      <c r="G88" s="31" t="s">
        <v>16</v>
      </c>
      <c r="H88" s="31" t="s">
        <v>17</v>
      </c>
      <c r="I88" s="32" t="s">
        <v>18</v>
      </c>
      <c r="J88" s="32">
        <v>3</v>
      </c>
      <c r="K88" s="32"/>
      <c r="L88" s="45">
        <v>3000</v>
      </c>
      <c r="M88" s="45">
        <v>0</v>
      </c>
      <c r="N88" s="45">
        <v>0</v>
      </c>
      <c r="O88" s="45">
        <v>2000</v>
      </c>
      <c r="P88" s="45">
        <v>2000</v>
      </c>
      <c r="Q88" s="45">
        <v>2000</v>
      </c>
    </row>
    <row r="89" spans="1:17" x14ac:dyDescent="0.25">
      <c r="A89" s="31" t="s">
        <v>124</v>
      </c>
      <c r="B89" s="31" t="s">
        <v>11</v>
      </c>
      <c r="C89" s="31" t="s">
        <v>12</v>
      </c>
      <c r="D89" s="31" t="s">
        <v>32</v>
      </c>
      <c r="E89" s="31" t="s">
        <v>107</v>
      </c>
      <c r="F89" s="31" t="s">
        <v>15</v>
      </c>
      <c r="G89" s="31" t="s">
        <v>16</v>
      </c>
      <c r="H89" s="31" t="s">
        <v>17</v>
      </c>
      <c r="I89" s="32" t="s">
        <v>18</v>
      </c>
      <c r="J89" s="32">
        <v>3</v>
      </c>
      <c r="K89" s="32"/>
      <c r="L89" s="45">
        <v>10000</v>
      </c>
      <c r="M89" s="45">
        <v>8000</v>
      </c>
      <c r="N89" s="45">
        <v>8000</v>
      </c>
      <c r="O89" s="45">
        <v>8000</v>
      </c>
      <c r="P89" s="45">
        <v>8000</v>
      </c>
      <c r="Q89" s="45">
        <v>8000</v>
      </c>
    </row>
    <row r="90" spans="1:17" x14ac:dyDescent="0.25">
      <c r="A90" s="31" t="s">
        <v>133</v>
      </c>
      <c r="B90" s="31" t="s">
        <v>11</v>
      </c>
      <c r="C90" s="31" t="s">
        <v>12</v>
      </c>
      <c r="D90" s="31" t="s">
        <v>32</v>
      </c>
      <c r="E90" s="31" t="s">
        <v>126</v>
      </c>
      <c r="F90" s="31" t="s">
        <v>15</v>
      </c>
      <c r="G90" s="31" t="s">
        <v>16</v>
      </c>
      <c r="H90" s="31" t="s">
        <v>17</v>
      </c>
      <c r="I90" s="32" t="s">
        <v>18</v>
      </c>
      <c r="J90" s="32">
        <v>3</v>
      </c>
      <c r="K90" s="32"/>
      <c r="L90" s="45">
        <v>3000</v>
      </c>
      <c r="M90" s="45">
        <v>0</v>
      </c>
      <c r="N90" s="45">
        <v>0</v>
      </c>
      <c r="O90" s="45">
        <v>2000</v>
      </c>
      <c r="P90" s="45">
        <v>2000</v>
      </c>
      <c r="Q90" s="45">
        <v>2000</v>
      </c>
    </row>
    <row r="91" spans="1:17" x14ac:dyDescent="0.25">
      <c r="A91" s="31" t="s">
        <v>21</v>
      </c>
      <c r="B91" s="31" t="s">
        <v>11</v>
      </c>
      <c r="C91" s="31" t="s">
        <v>12</v>
      </c>
      <c r="D91" s="31" t="s">
        <v>22</v>
      </c>
      <c r="E91" s="31" t="s">
        <v>14</v>
      </c>
      <c r="F91" s="31" t="s">
        <v>15</v>
      </c>
      <c r="G91" s="31" t="s">
        <v>16</v>
      </c>
      <c r="H91" s="31" t="s">
        <v>17</v>
      </c>
      <c r="I91" s="32" t="s">
        <v>18</v>
      </c>
      <c r="J91" s="32">
        <v>3</v>
      </c>
      <c r="K91" s="32"/>
      <c r="L91" s="45">
        <v>4000</v>
      </c>
      <c r="M91" s="45">
        <v>12000</v>
      </c>
      <c r="N91" s="45">
        <v>12000</v>
      </c>
      <c r="O91" s="45">
        <v>12000</v>
      </c>
      <c r="P91" s="45">
        <v>12000</v>
      </c>
      <c r="Q91" s="45">
        <v>12000</v>
      </c>
    </row>
    <row r="92" spans="1:17" x14ac:dyDescent="0.25">
      <c r="A92" s="31" t="s">
        <v>57</v>
      </c>
      <c r="B92" s="31" t="s">
        <v>11</v>
      </c>
      <c r="C92" s="31" t="s">
        <v>12</v>
      </c>
      <c r="D92" s="31" t="s">
        <v>22</v>
      </c>
      <c r="E92" s="31" t="s">
        <v>50</v>
      </c>
      <c r="F92" s="31" t="s">
        <v>15</v>
      </c>
      <c r="G92" s="31" t="s">
        <v>16</v>
      </c>
      <c r="H92" s="31" t="s">
        <v>17</v>
      </c>
      <c r="I92" s="32" t="s">
        <v>18</v>
      </c>
      <c r="J92" s="32">
        <v>3</v>
      </c>
      <c r="K92" s="32"/>
      <c r="L92" s="45">
        <v>4000</v>
      </c>
      <c r="M92" s="45">
        <v>8000</v>
      </c>
      <c r="N92" s="45">
        <v>8000</v>
      </c>
      <c r="O92" s="45">
        <v>8000</v>
      </c>
      <c r="P92" s="45">
        <v>8000</v>
      </c>
      <c r="Q92" s="45">
        <v>8000</v>
      </c>
    </row>
    <row r="93" spans="1:17" x14ac:dyDescent="0.25">
      <c r="A93" s="31" t="s">
        <v>74</v>
      </c>
      <c r="B93" s="31" t="s">
        <v>11</v>
      </c>
      <c r="C93" s="31" t="s">
        <v>12</v>
      </c>
      <c r="D93" s="31" t="s">
        <v>22</v>
      </c>
      <c r="E93" s="31" t="s">
        <v>69</v>
      </c>
      <c r="F93" s="31" t="s">
        <v>15</v>
      </c>
      <c r="G93" s="31" t="s">
        <v>16</v>
      </c>
      <c r="H93" s="31" t="s">
        <v>17</v>
      </c>
      <c r="I93" s="32" t="s">
        <v>18</v>
      </c>
      <c r="J93" s="32">
        <v>3</v>
      </c>
      <c r="K93" s="32"/>
      <c r="L93" s="45">
        <v>4000</v>
      </c>
      <c r="M93" s="45">
        <v>14000</v>
      </c>
      <c r="N93" s="45">
        <v>14000</v>
      </c>
      <c r="O93" s="45">
        <v>14000</v>
      </c>
      <c r="P93" s="45">
        <v>14000</v>
      </c>
      <c r="Q93" s="45">
        <v>14000</v>
      </c>
    </row>
    <row r="94" spans="1:17" x14ac:dyDescent="0.25">
      <c r="A94" s="31" t="s">
        <v>92</v>
      </c>
      <c r="B94" s="31" t="s">
        <v>11</v>
      </c>
      <c r="C94" s="31" t="s">
        <v>89</v>
      </c>
      <c r="D94" s="31" t="s">
        <v>22</v>
      </c>
      <c r="E94" s="31" t="s">
        <v>90</v>
      </c>
      <c r="F94" s="31" t="s">
        <v>15</v>
      </c>
      <c r="G94" s="31" t="s">
        <v>16</v>
      </c>
      <c r="H94" s="31" t="s">
        <v>17</v>
      </c>
      <c r="I94" s="32" t="s">
        <v>18</v>
      </c>
      <c r="J94" s="32">
        <v>3</v>
      </c>
      <c r="K94" s="32"/>
      <c r="L94" s="45">
        <v>4000</v>
      </c>
      <c r="M94" s="45">
        <v>12000</v>
      </c>
      <c r="N94" s="45">
        <v>12000</v>
      </c>
      <c r="O94" s="45">
        <v>12000</v>
      </c>
      <c r="P94" s="45">
        <v>12000</v>
      </c>
      <c r="Q94" s="45">
        <v>12000</v>
      </c>
    </row>
    <row r="95" spans="1:17" x14ac:dyDescent="0.25">
      <c r="A95" s="31" t="s">
        <v>111</v>
      </c>
      <c r="B95" s="31" t="s">
        <v>11</v>
      </c>
      <c r="C95" s="31" t="s">
        <v>12</v>
      </c>
      <c r="D95" s="31" t="s">
        <v>22</v>
      </c>
      <c r="E95" s="31" t="s">
        <v>107</v>
      </c>
      <c r="F95" s="31" t="s">
        <v>15</v>
      </c>
      <c r="G95" s="31" t="s">
        <v>16</v>
      </c>
      <c r="H95" s="31" t="s">
        <v>17</v>
      </c>
      <c r="I95" s="32" t="s">
        <v>18</v>
      </c>
      <c r="J95" s="32">
        <v>3</v>
      </c>
      <c r="K95" s="32"/>
      <c r="L95" s="45">
        <v>6000</v>
      </c>
      <c r="M95" s="45">
        <v>10000</v>
      </c>
      <c r="N95" s="45">
        <v>10000</v>
      </c>
      <c r="O95" s="45">
        <v>10000</v>
      </c>
      <c r="P95" s="45">
        <v>10000</v>
      </c>
      <c r="Q95" s="45">
        <v>10000</v>
      </c>
    </row>
    <row r="96" spans="1:17" x14ac:dyDescent="0.25">
      <c r="A96" s="31" t="s">
        <v>128</v>
      </c>
      <c r="B96" s="31" t="s">
        <v>11</v>
      </c>
      <c r="C96" s="31" t="s">
        <v>12</v>
      </c>
      <c r="D96" s="31" t="s">
        <v>22</v>
      </c>
      <c r="E96" s="31" t="s">
        <v>126</v>
      </c>
      <c r="F96" s="31" t="s">
        <v>15</v>
      </c>
      <c r="G96" s="31" t="s">
        <v>16</v>
      </c>
      <c r="H96" s="31" t="s">
        <v>17</v>
      </c>
      <c r="I96" s="32" t="s">
        <v>18</v>
      </c>
      <c r="J96" s="32">
        <v>3</v>
      </c>
      <c r="K96" s="32"/>
      <c r="L96" s="45">
        <v>4000</v>
      </c>
      <c r="M96" s="45">
        <v>12000</v>
      </c>
      <c r="N96" s="45">
        <v>12000</v>
      </c>
      <c r="O96" s="45">
        <v>12000</v>
      </c>
      <c r="P96" s="45">
        <v>12000</v>
      </c>
      <c r="Q96" s="45">
        <v>12000</v>
      </c>
    </row>
    <row r="98" spans="1:19" s="94" customFormat="1" ht="15.75" thickBot="1" x14ac:dyDescent="0.3">
      <c r="A98" s="93" t="s">
        <v>1203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1">
        <f>SUM(L5:L97)</f>
        <v>7559181.427201598</v>
      </c>
      <c r="M98" s="91">
        <f>SUM(M5:M97)</f>
        <v>6337274.8538048007</v>
      </c>
      <c r="N98" s="91">
        <f>SUM(N5:N97)</f>
        <v>6337274.8538048007</v>
      </c>
      <c r="O98" s="91">
        <f t="shared" ref="O98:Q98" si="3">SUM(O5:O97)</f>
        <v>7324645.7242480014</v>
      </c>
      <c r="P98" s="91">
        <f t="shared" si="3"/>
        <v>7629066.1361149112</v>
      </c>
      <c r="Q98" s="91">
        <f t="shared" si="3"/>
        <v>7954104.1122400854</v>
      </c>
      <c r="S98" s="128"/>
    </row>
  </sheetData>
  <autoFilter ref="A4:K97" xr:uid="{00000000-0009-0000-0000-000006000000}"/>
  <sortState xmlns:xlrd2="http://schemas.microsoft.com/office/spreadsheetml/2017/richdata2" ref="A2:K59">
    <sortCondition ref="E2:E59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50"/>
  <sheetViews>
    <sheetView zoomScale="110" zoomScaleNormal="110" workbookViewId="0">
      <pane ySplit="4" topLeftCell="A29" activePane="bottomLeft" state="frozen"/>
      <selection activeCell="F10" sqref="F10"/>
      <selection pane="bottomLeft" activeCell="A2" sqref="A2"/>
    </sheetView>
  </sheetViews>
  <sheetFormatPr defaultColWidth="9.125" defaultRowHeight="15" x14ac:dyDescent="0.25"/>
  <cols>
    <col min="1" max="1" width="42.375" style="35" bestFit="1" customWidth="1"/>
    <col min="2" max="2" width="9.125" style="35" hidden="1" customWidth="1"/>
    <col min="3" max="3" width="21" style="35" hidden="1" customWidth="1"/>
    <col min="4" max="4" width="38.625" style="35" customWidth="1"/>
    <col min="5" max="5" width="21.375" style="35" hidden="1" customWidth="1"/>
    <col min="6" max="11" width="9.125" style="35" hidden="1" customWidth="1"/>
    <col min="12" max="12" width="13.25" style="37" customWidth="1"/>
    <col min="13" max="13" width="13.625" style="35" customWidth="1"/>
    <col min="14" max="17" width="13.625" style="171" customWidth="1"/>
    <col min="18" max="18" width="9.25" style="35" bestFit="1" customWidth="1"/>
    <col min="19" max="19" width="13.75" style="37" bestFit="1" customWidth="1"/>
    <col min="20" max="16384" width="9.12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144</v>
      </c>
      <c r="B3" s="72"/>
      <c r="C3" s="72"/>
      <c r="D3" s="72"/>
    </row>
    <row r="4" spans="1:19" ht="64.5" customHeight="1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163</v>
      </c>
      <c r="B5" s="31" t="s">
        <v>11</v>
      </c>
      <c r="C5" s="31" t="s">
        <v>142</v>
      </c>
      <c r="D5" s="31" t="s">
        <v>157</v>
      </c>
      <c r="E5" s="31" t="s">
        <v>143</v>
      </c>
      <c r="F5" s="31" t="s">
        <v>15</v>
      </c>
      <c r="G5" s="31" t="s">
        <v>16</v>
      </c>
      <c r="H5" s="31" t="s">
        <v>144</v>
      </c>
      <c r="I5" s="32" t="s">
        <v>18</v>
      </c>
      <c r="J5" s="32">
        <v>3</v>
      </c>
      <c r="K5" s="32"/>
      <c r="L5" s="34">
        <v>2293067.2145999996</v>
      </c>
      <c r="M5" s="34">
        <v>1982680.65</v>
      </c>
      <c r="N5" s="34">
        <v>1982680.65</v>
      </c>
      <c r="O5" s="34">
        <f>S5</f>
        <v>2394520.2142799995</v>
      </c>
      <c r="P5" s="34">
        <f>O5*1.044</f>
        <v>2499879.1037083194</v>
      </c>
      <c r="Q5" s="34">
        <f>P5*1.045</f>
        <v>2612373.6633751937</v>
      </c>
      <c r="S5" s="145">
        <f>'[2]6055PMU'!$E$10</f>
        <v>2394520.2142799995</v>
      </c>
    </row>
    <row r="6" spans="1:19" hidden="1" x14ac:dyDescent="0.25">
      <c r="A6" s="31" t="s">
        <v>1757</v>
      </c>
      <c r="B6" s="31"/>
      <c r="C6" s="31"/>
      <c r="D6" s="31" t="s">
        <v>157</v>
      </c>
      <c r="E6" s="31"/>
      <c r="F6" s="31"/>
      <c r="G6" s="31"/>
      <c r="H6" s="31"/>
      <c r="I6" s="32"/>
      <c r="J6" s="32"/>
      <c r="K6" s="32"/>
      <c r="L6" s="34">
        <v>0</v>
      </c>
      <c r="M6" s="34">
        <v>0</v>
      </c>
      <c r="N6" s="34">
        <v>0</v>
      </c>
      <c r="O6" s="34">
        <f t="shared" ref="O6:O8" si="0">S6</f>
        <v>0</v>
      </c>
      <c r="P6" s="34">
        <f t="shared" ref="P6:P26" si="1">O6*1.044</f>
        <v>0</v>
      </c>
      <c r="Q6" s="34">
        <f t="shared" ref="Q6:Q25" si="2">P6*1.045</f>
        <v>0</v>
      </c>
      <c r="S6" s="145"/>
    </row>
    <row r="7" spans="1:19" hidden="1" x14ac:dyDescent="0.25">
      <c r="A7" s="31" t="s">
        <v>152</v>
      </c>
      <c r="B7" s="31" t="s">
        <v>11</v>
      </c>
      <c r="C7" s="31" t="s">
        <v>142</v>
      </c>
      <c r="D7" s="31" t="s">
        <v>86</v>
      </c>
      <c r="E7" s="31" t="s">
        <v>143</v>
      </c>
      <c r="F7" s="31" t="s">
        <v>37</v>
      </c>
      <c r="G7" s="31" t="s">
        <v>16</v>
      </c>
      <c r="H7" s="31" t="s">
        <v>144</v>
      </c>
      <c r="I7" s="32" t="s">
        <v>38</v>
      </c>
      <c r="J7" s="32">
        <v>1</v>
      </c>
      <c r="K7" s="32"/>
      <c r="L7" s="34">
        <v>0</v>
      </c>
      <c r="M7" s="34">
        <v>0</v>
      </c>
      <c r="N7" s="34">
        <v>0</v>
      </c>
      <c r="O7" s="34">
        <f t="shared" si="0"/>
        <v>0</v>
      </c>
      <c r="P7" s="34">
        <f t="shared" si="1"/>
        <v>0</v>
      </c>
      <c r="Q7" s="34">
        <f t="shared" si="2"/>
        <v>0</v>
      </c>
      <c r="S7" s="145"/>
    </row>
    <row r="8" spans="1:19" hidden="1" x14ac:dyDescent="0.25">
      <c r="A8" s="31" t="s">
        <v>176</v>
      </c>
      <c r="B8" s="31" t="s">
        <v>11</v>
      </c>
      <c r="C8" s="31" t="s">
        <v>142</v>
      </c>
      <c r="D8" s="31" t="s">
        <v>1630</v>
      </c>
      <c r="E8" s="31" t="s">
        <v>143</v>
      </c>
      <c r="F8" s="31" t="s">
        <v>15</v>
      </c>
      <c r="G8" s="31" t="s">
        <v>16</v>
      </c>
      <c r="H8" s="31" t="s">
        <v>144</v>
      </c>
      <c r="I8" s="32" t="s">
        <v>18</v>
      </c>
      <c r="J8" s="32">
        <v>3</v>
      </c>
      <c r="K8" s="32"/>
      <c r="L8" s="34">
        <v>0</v>
      </c>
      <c r="M8" s="34"/>
      <c r="N8" s="34"/>
      <c r="O8" s="34">
        <f t="shared" si="0"/>
        <v>0</v>
      </c>
      <c r="P8" s="34">
        <f t="shared" si="1"/>
        <v>0</v>
      </c>
      <c r="Q8" s="34">
        <f t="shared" si="2"/>
        <v>0</v>
      </c>
      <c r="S8" s="145"/>
    </row>
    <row r="9" spans="1:19" x14ac:dyDescent="0.25">
      <c r="A9" s="31" t="s">
        <v>2197</v>
      </c>
      <c r="B9" s="31"/>
      <c r="C9" s="31"/>
      <c r="D9" s="31" t="s">
        <v>1630</v>
      </c>
      <c r="E9" s="31"/>
      <c r="F9" s="31"/>
      <c r="G9" s="31"/>
      <c r="H9" s="31"/>
      <c r="I9" s="131"/>
      <c r="J9" s="131"/>
      <c r="K9" s="131"/>
      <c r="L9" s="34"/>
      <c r="M9" s="34">
        <v>60000</v>
      </c>
      <c r="N9" s="34">
        <v>60000</v>
      </c>
      <c r="O9" s="34">
        <v>60000</v>
      </c>
      <c r="P9" s="34">
        <f t="shared" si="1"/>
        <v>62640</v>
      </c>
      <c r="Q9" s="34">
        <f t="shared" si="2"/>
        <v>65458.799999999996</v>
      </c>
      <c r="S9" s="145"/>
    </row>
    <row r="10" spans="1:19" x14ac:dyDescent="0.25">
      <c r="A10" s="31" t="s">
        <v>175</v>
      </c>
      <c r="B10" s="31" t="s">
        <v>11</v>
      </c>
      <c r="C10" s="31" t="s">
        <v>142</v>
      </c>
      <c r="D10" s="31" t="s">
        <v>153</v>
      </c>
      <c r="E10" s="31" t="s">
        <v>143</v>
      </c>
      <c r="F10" s="31" t="s">
        <v>15</v>
      </c>
      <c r="G10" s="31" t="s">
        <v>16</v>
      </c>
      <c r="H10" s="31" t="s">
        <v>144</v>
      </c>
      <c r="I10" s="32" t="s">
        <v>18</v>
      </c>
      <c r="J10" s="32">
        <v>3</v>
      </c>
      <c r="K10" s="32"/>
      <c r="L10" s="34">
        <v>173605.60820999998</v>
      </c>
      <c r="M10" s="34">
        <v>141012.63</v>
      </c>
      <c r="N10" s="34">
        <v>141012.63</v>
      </c>
      <c r="O10" s="34">
        <f>S10</f>
        <v>182876.69118999998</v>
      </c>
      <c r="P10" s="34">
        <f t="shared" si="1"/>
        <v>190923.26560235998</v>
      </c>
      <c r="Q10" s="34">
        <f t="shared" si="2"/>
        <v>199514.81255446616</v>
      </c>
      <c r="S10" s="145">
        <f>'[2]6055PMU'!$I$10</f>
        <v>182876.69118999998</v>
      </c>
    </row>
    <row r="11" spans="1:19" hidden="1" x14ac:dyDescent="0.25">
      <c r="A11" s="31" t="s">
        <v>1758</v>
      </c>
      <c r="B11" s="31"/>
      <c r="C11" s="31"/>
      <c r="D11" s="31" t="s">
        <v>153</v>
      </c>
      <c r="E11" s="31"/>
      <c r="F11" s="31"/>
      <c r="G11" s="31"/>
      <c r="H11" s="31"/>
      <c r="I11" s="32"/>
      <c r="J11" s="32"/>
      <c r="K11" s="32"/>
      <c r="L11" s="34">
        <v>0</v>
      </c>
      <c r="M11" s="34">
        <v>0</v>
      </c>
      <c r="N11" s="34">
        <v>0</v>
      </c>
      <c r="O11" s="34">
        <f t="shared" ref="O11:O23" si="3">S11</f>
        <v>0</v>
      </c>
      <c r="P11" s="34">
        <f t="shared" si="1"/>
        <v>0</v>
      </c>
      <c r="Q11" s="34">
        <f t="shared" si="2"/>
        <v>0</v>
      </c>
      <c r="S11" s="145"/>
    </row>
    <row r="12" spans="1:19" x14ac:dyDescent="0.25">
      <c r="A12" s="31" t="s">
        <v>166</v>
      </c>
      <c r="B12" s="31" t="s">
        <v>11</v>
      </c>
      <c r="C12" s="31" t="s">
        <v>142</v>
      </c>
      <c r="D12" s="31" t="s">
        <v>41</v>
      </c>
      <c r="E12" s="31" t="s">
        <v>143</v>
      </c>
      <c r="F12" s="31" t="s">
        <v>15</v>
      </c>
      <c r="G12" s="31" t="s">
        <v>16</v>
      </c>
      <c r="H12" s="31" t="s">
        <v>144</v>
      </c>
      <c r="I12" s="32" t="s">
        <v>18</v>
      </c>
      <c r="J12" s="32">
        <v>3</v>
      </c>
      <c r="K12" s="32"/>
      <c r="L12" s="34">
        <v>458318.80567439995</v>
      </c>
      <c r="M12" s="34">
        <v>367763.18319999997</v>
      </c>
      <c r="N12" s="34">
        <v>367763.18319999997</v>
      </c>
      <c r="O12" s="34">
        <f t="shared" si="3"/>
        <v>482794.46474159998</v>
      </c>
      <c r="P12" s="34">
        <f t="shared" si="1"/>
        <v>504037.42119023041</v>
      </c>
      <c r="Q12" s="34">
        <f t="shared" si="2"/>
        <v>526719.10514379072</v>
      </c>
      <c r="S12" s="145">
        <f>'[2]6055PMU'!$K$10</f>
        <v>482794.46474159998</v>
      </c>
    </row>
    <row r="13" spans="1:19" hidden="1" x14ac:dyDescent="0.25">
      <c r="A13" s="31" t="s">
        <v>1759</v>
      </c>
      <c r="B13" s="31"/>
      <c r="C13" s="31"/>
      <c r="D13" s="31" t="s">
        <v>41</v>
      </c>
      <c r="E13" s="31"/>
      <c r="F13" s="31"/>
      <c r="G13" s="31"/>
      <c r="H13" s="31"/>
      <c r="I13" s="32"/>
      <c r="J13" s="32"/>
      <c r="K13" s="32"/>
      <c r="L13" s="34">
        <v>0</v>
      </c>
      <c r="M13" s="34">
        <v>0</v>
      </c>
      <c r="N13" s="34">
        <v>0</v>
      </c>
      <c r="O13" s="34">
        <f t="shared" si="3"/>
        <v>0</v>
      </c>
      <c r="P13" s="34">
        <f t="shared" si="1"/>
        <v>0</v>
      </c>
      <c r="Q13" s="34">
        <f t="shared" si="2"/>
        <v>0</v>
      </c>
      <c r="S13" s="145"/>
    </row>
    <row r="14" spans="1:19" x14ac:dyDescent="0.25">
      <c r="A14" s="31" t="s">
        <v>165</v>
      </c>
      <c r="B14" s="31" t="s">
        <v>11</v>
      </c>
      <c r="C14" s="31" t="s">
        <v>142</v>
      </c>
      <c r="D14" s="31" t="s">
        <v>36</v>
      </c>
      <c r="E14" s="31" t="s">
        <v>143</v>
      </c>
      <c r="F14" s="31" t="s">
        <v>15</v>
      </c>
      <c r="G14" s="31" t="s">
        <v>16</v>
      </c>
      <c r="H14" s="31" t="s">
        <v>144</v>
      </c>
      <c r="I14" s="32" t="s">
        <v>18</v>
      </c>
      <c r="J14" s="32">
        <v>3</v>
      </c>
      <c r="K14" s="32"/>
      <c r="L14" s="34">
        <v>110269.44</v>
      </c>
      <c r="M14" s="34">
        <v>156464.64000000001</v>
      </c>
      <c r="N14" s="34">
        <v>156464.64000000001</v>
      </c>
      <c r="O14" s="34">
        <f t="shared" si="3"/>
        <v>156464.64000000001</v>
      </c>
      <c r="P14" s="34">
        <f t="shared" si="1"/>
        <v>163349.08416000003</v>
      </c>
      <c r="Q14" s="34">
        <f t="shared" si="2"/>
        <v>170699.79294720001</v>
      </c>
      <c r="S14" s="145">
        <f>'[3]6055PMU'!$L$10</f>
        <v>156464.64000000001</v>
      </c>
    </row>
    <row r="15" spans="1:19" x14ac:dyDescent="0.25">
      <c r="A15" s="31" t="s">
        <v>170</v>
      </c>
      <c r="B15" s="31" t="s">
        <v>11</v>
      </c>
      <c r="C15" s="31" t="s">
        <v>142</v>
      </c>
      <c r="D15" s="31" t="s">
        <v>47</v>
      </c>
      <c r="E15" s="31" t="s">
        <v>143</v>
      </c>
      <c r="F15" s="31" t="s">
        <v>15</v>
      </c>
      <c r="G15" s="31" t="s">
        <v>16</v>
      </c>
      <c r="H15" s="31" t="s">
        <v>144</v>
      </c>
      <c r="I15" s="32" t="s">
        <v>18</v>
      </c>
      <c r="J15" s="32">
        <v>3</v>
      </c>
      <c r="K15" s="32"/>
      <c r="L15" s="34">
        <v>215737.68</v>
      </c>
      <c r="M15" s="34">
        <v>403698.61</v>
      </c>
      <c r="N15" s="34">
        <v>403698.61</v>
      </c>
      <c r="O15" s="34">
        <f t="shared" si="3"/>
        <v>423515.58132</v>
      </c>
      <c r="P15" s="34">
        <f t="shared" si="1"/>
        <v>442150.26689808001</v>
      </c>
      <c r="Q15" s="34">
        <f t="shared" si="2"/>
        <v>462047.02890849358</v>
      </c>
      <c r="S15" s="145">
        <f>'[2]6055PMU'!$M$10</f>
        <v>423515.58132</v>
      </c>
    </row>
    <row r="16" spans="1:19" x14ac:dyDescent="0.25">
      <c r="A16" s="31" t="s">
        <v>160</v>
      </c>
      <c r="B16" s="31" t="s">
        <v>11</v>
      </c>
      <c r="C16" s="31" t="s">
        <v>142</v>
      </c>
      <c r="D16" s="31" t="s">
        <v>45</v>
      </c>
      <c r="E16" s="31" t="s">
        <v>143</v>
      </c>
      <c r="F16" s="31" t="s">
        <v>15</v>
      </c>
      <c r="G16" s="31" t="s">
        <v>16</v>
      </c>
      <c r="H16" s="31" t="s">
        <v>144</v>
      </c>
      <c r="I16" s="32" t="s">
        <v>18</v>
      </c>
      <c r="J16" s="32">
        <v>3</v>
      </c>
      <c r="K16" s="32"/>
      <c r="L16" s="34">
        <v>23868</v>
      </c>
      <c r="M16" s="34">
        <v>34337.31</v>
      </c>
      <c r="N16" s="34">
        <v>34337.31</v>
      </c>
      <c r="O16" s="34">
        <f t="shared" si="3"/>
        <v>36323.806919999995</v>
      </c>
      <c r="P16" s="34">
        <f t="shared" si="1"/>
        <v>37922.054424479997</v>
      </c>
      <c r="Q16" s="34">
        <f t="shared" si="2"/>
        <v>39628.546873581596</v>
      </c>
      <c r="S16" s="145">
        <f>'[2]6055PMU'!$N$10</f>
        <v>36323.806919999995</v>
      </c>
    </row>
    <row r="17" spans="1:19" hidden="1" x14ac:dyDescent="0.25">
      <c r="A17" s="31" t="s">
        <v>174</v>
      </c>
      <c r="B17" s="31" t="s">
        <v>11</v>
      </c>
      <c r="C17" s="31" t="s">
        <v>142</v>
      </c>
      <c r="D17" s="31" t="s">
        <v>156</v>
      </c>
      <c r="E17" s="31" t="s">
        <v>143</v>
      </c>
      <c r="F17" s="31" t="s">
        <v>15</v>
      </c>
      <c r="G17" s="31" t="s">
        <v>16</v>
      </c>
      <c r="H17" s="31" t="s">
        <v>144</v>
      </c>
      <c r="I17" s="32" t="s">
        <v>18</v>
      </c>
      <c r="J17" s="32">
        <v>3</v>
      </c>
      <c r="K17" s="32"/>
      <c r="L17" s="34">
        <v>0</v>
      </c>
      <c r="M17" s="34">
        <v>0</v>
      </c>
      <c r="N17" s="34">
        <v>0</v>
      </c>
      <c r="O17" s="34">
        <f t="shared" si="3"/>
        <v>0</v>
      </c>
      <c r="P17" s="34">
        <f t="shared" si="1"/>
        <v>0</v>
      </c>
      <c r="Q17" s="34">
        <f t="shared" si="2"/>
        <v>0</v>
      </c>
      <c r="S17" s="145"/>
    </row>
    <row r="18" spans="1:19" x14ac:dyDescent="0.25">
      <c r="A18" s="31" t="s">
        <v>164</v>
      </c>
      <c r="B18" s="31" t="s">
        <v>11</v>
      </c>
      <c r="C18" s="31" t="s">
        <v>142</v>
      </c>
      <c r="D18" s="31" t="s">
        <v>151</v>
      </c>
      <c r="E18" s="31" t="s">
        <v>143</v>
      </c>
      <c r="F18" s="31" t="s">
        <v>15</v>
      </c>
      <c r="G18" s="31" t="s">
        <v>16</v>
      </c>
      <c r="H18" s="31" t="s">
        <v>144</v>
      </c>
      <c r="I18" s="32" t="s">
        <v>18</v>
      </c>
      <c r="J18" s="32">
        <v>3</v>
      </c>
      <c r="K18" s="32"/>
      <c r="L18" s="34">
        <v>594</v>
      </c>
      <c r="M18" s="34">
        <v>515</v>
      </c>
      <c r="N18" s="34">
        <v>515</v>
      </c>
      <c r="O18" s="34">
        <f t="shared" si="3"/>
        <v>618</v>
      </c>
      <c r="P18" s="34">
        <f t="shared" si="1"/>
        <v>645.19200000000001</v>
      </c>
      <c r="Q18" s="34">
        <f t="shared" si="2"/>
        <v>674.22564</v>
      </c>
      <c r="S18" s="145">
        <f>'[3]6055PMU'!$Q$10</f>
        <v>618</v>
      </c>
    </row>
    <row r="19" spans="1:19" hidden="1" x14ac:dyDescent="0.25">
      <c r="A19" s="31" t="s">
        <v>1760</v>
      </c>
      <c r="B19" s="31"/>
      <c r="C19" s="31"/>
      <c r="D19" s="31" t="s">
        <v>151</v>
      </c>
      <c r="E19" s="31"/>
      <c r="F19" s="31"/>
      <c r="G19" s="31"/>
      <c r="H19" s="31"/>
      <c r="I19" s="32"/>
      <c r="J19" s="32"/>
      <c r="K19" s="32"/>
      <c r="L19" s="34">
        <v>0</v>
      </c>
      <c r="M19" s="34">
        <v>0</v>
      </c>
      <c r="N19" s="34">
        <v>0</v>
      </c>
      <c r="O19" s="34">
        <f t="shared" si="3"/>
        <v>0</v>
      </c>
      <c r="P19" s="34">
        <f t="shared" si="1"/>
        <v>0</v>
      </c>
      <c r="Q19" s="34">
        <f t="shared" si="2"/>
        <v>0</v>
      </c>
      <c r="S19" s="145"/>
    </row>
    <row r="20" spans="1:19" hidden="1" x14ac:dyDescent="0.25">
      <c r="A20" s="31" t="s">
        <v>161</v>
      </c>
      <c r="B20" s="31" t="s">
        <v>11</v>
      </c>
      <c r="C20" s="31" t="s">
        <v>142</v>
      </c>
      <c r="D20" s="31" t="s">
        <v>162</v>
      </c>
      <c r="E20" s="31" t="s">
        <v>143</v>
      </c>
      <c r="F20" s="31" t="s">
        <v>37</v>
      </c>
      <c r="G20" s="31" t="s">
        <v>16</v>
      </c>
      <c r="H20" s="31" t="s">
        <v>144</v>
      </c>
      <c r="I20" s="32" t="s">
        <v>38</v>
      </c>
      <c r="J20" s="32">
        <v>1</v>
      </c>
      <c r="K20" s="32"/>
      <c r="L20" s="34">
        <v>0</v>
      </c>
      <c r="M20" s="34">
        <v>0</v>
      </c>
      <c r="N20" s="34">
        <v>0</v>
      </c>
      <c r="O20" s="34">
        <f t="shared" si="3"/>
        <v>0</v>
      </c>
      <c r="P20" s="34">
        <f t="shared" si="1"/>
        <v>0</v>
      </c>
      <c r="Q20" s="34">
        <f t="shared" si="2"/>
        <v>0</v>
      </c>
      <c r="S20" s="145"/>
    </row>
    <row r="21" spans="1:19" hidden="1" x14ac:dyDescent="0.25">
      <c r="A21" s="31" t="s">
        <v>154</v>
      </c>
      <c r="B21" s="31" t="s">
        <v>11</v>
      </c>
      <c r="C21" s="31" t="s">
        <v>142</v>
      </c>
      <c r="D21" s="31" t="s">
        <v>155</v>
      </c>
      <c r="E21" s="31" t="s">
        <v>143</v>
      </c>
      <c r="F21" s="31" t="s">
        <v>37</v>
      </c>
      <c r="G21" s="31" t="s">
        <v>16</v>
      </c>
      <c r="H21" s="31" t="s">
        <v>144</v>
      </c>
      <c r="I21" s="32" t="s">
        <v>38</v>
      </c>
      <c r="J21" s="32">
        <v>1</v>
      </c>
      <c r="K21" s="32"/>
      <c r="L21" s="34">
        <v>0</v>
      </c>
      <c r="M21" s="34">
        <v>0</v>
      </c>
      <c r="N21" s="34">
        <v>0</v>
      </c>
      <c r="O21" s="34">
        <f t="shared" si="3"/>
        <v>0</v>
      </c>
      <c r="P21" s="34">
        <f t="shared" si="1"/>
        <v>0</v>
      </c>
      <c r="Q21" s="34">
        <f t="shared" si="2"/>
        <v>0</v>
      </c>
      <c r="S21" s="145"/>
    </row>
    <row r="22" spans="1:19" x14ac:dyDescent="0.25">
      <c r="A22" s="31" t="s">
        <v>167</v>
      </c>
      <c r="B22" s="31" t="s">
        <v>11</v>
      </c>
      <c r="C22" s="31" t="s">
        <v>142</v>
      </c>
      <c r="D22" s="31" t="s">
        <v>43</v>
      </c>
      <c r="E22" s="31" t="s">
        <v>143</v>
      </c>
      <c r="F22" s="31" t="s">
        <v>15</v>
      </c>
      <c r="G22" s="31" t="s">
        <v>16</v>
      </c>
      <c r="H22" s="31" t="s">
        <v>144</v>
      </c>
      <c r="I22" s="32" t="s">
        <v>18</v>
      </c>
      <c r="J22" s="32">
        <v>3</v>
      </c>
      <c r="K22" s="32"/>
      <c r="L22" s="34">
        <v>9584.7991607999993</v>
      </c>
      <c r="M22" s="34">
        <v>12416.458699999999</v>
      </c>
      <c r="N22" s="34">
        <v>12416.458699999999</v>
      </c>
      <c r="O22" s="34">
        <f t="shared" si="3"/>
        <v>9486.7991999999995</v>
      </c>
      <c r="P22" s="34">
        <f t="shared" si="1"/>
        <v>9904.2183647999991</v>
      </c>
      <c r="Q22" s="34">
        <f t="shared" si="2"/>
        <v>10349.908191215998</v>
      </c>
      <c r="S22" s="145">
        <f>'[3]6055PMU'!$T$10</f>
        <v>9486.7991999999995</v>
      </c>
    </row>
    <row r="23" spans="1:19" hidden="1" x14ac:dyDescent="0.25">
      <c r="A23" s="31" t="s">
        <v>1762</v>
      </c>
      <c r="B23" s="31"/>
      <c r="C23" s="31"/>
      <c r="D23" s="31" t="s">
        <v>43</v>
      </c>
      <c r="E23" s="31"/>
      <c r="F23" s="31"/>
      <c r="G23" s="31"/>
      <c r="H23" s="31"/>
      <c r="I23" s="32"/>
      <c r="J23" s="32"/>
      <c r="K23" s="32"/>
      <c r="L23" s="34">
        <v>0</v>
      </c>
      <c r="M23" s="34">
        <v>0</v>
      </c>
      <c r="N23" s="34">
        <v>0</v>
      </c>
      <c r="O23" s="34">
        <f t="shared" si="3"/>
        <v>0</v>
      </c>
      <c r="P23" s="34">
        <f t="shared" si="1"/>
        <v>0</v>
      </c>
      <c r="Q23" s="34">
        <f t="shared" si="2"/>
        <v>0</v>
      </c>
      <c r="S23" s="145"/>
    </row>
    <row r="24" spans="1:19" x14ac:dyDescent="0.25">
      <c r="A24" s="31"/>
      <c r="B24" s="31"/>
      <c r="C24" s="31"/>
      <c r="D24" s="31"/>
      <c r="E24" s="31"/>
      <c r="F24" s="31"/>
      <c r="G24" s="31"/>
      <c r="H24" s="31"/>
      <c r="I24" s="32"/>
      <c r="J24" s="32"/>
      <c r="K24" s="32"/>
      <c r="L24" s="34"/>
      <c r="M24" s="34"/>
      <c r="N24" s="34"/>
      <c r="O24" s="34"/>
      <c r="P24" s="34"/>
      <c r="Q24" s="34"/>
      <c r="S24" s="145"/>
    </row>
    <row r="25" spans="1:19" x14ac:dyDescent="0.25">
      <c r="A25" s="31" t="s">
        <v>173</v>
      </c>
      <c r="B25" s="31" t="s">
        <v>11</v>
      </c>
      <c r="C25" s="31" t="s">
        <v>142</v>
      </c>
      <c r="D25" s="31" t="s">
        <v>30</v>
      </c>
      <c r="E25" s="31" t="s">
        <v>143</v>
      </c>
      <c r="F25" s="31" t="s">
        <v>15</v>
      </c>
      <c r="G25" s="31" t="s">
        <v>16</v>
      </c>
      <c r="H25" s="31" t="s">
        <v>144</v>
      </c>
      <c r="I25" s="32" t="s">
        <v>18</v>
      </c>
      <c r="J25" s="32">
        <v>3</v>
      </c>
      <c r="K25" s="32"/>
      <c r="L25" s="34">
        <v>22930.672145999997</v>
      </c>
      <c r="M25" s="34">
        <v>22899.0903</v>
      </c>
      <c r="N25" s="34">
        <v>22899.0903</v>
      </c>
      <c r="O25" s="34">
        <f>S25</f>
        <v>23945.202142799997</v>
      </c>
      <c r="P25" s="34">
        <f t="shared" si="1"/>
        <v>24998.7910370832</v>
      </c>
      <c r="Q25" s="34">
        <f t="shared" si="2"/>
        <v>26123.736633751942</v>
      </c>
      <c r="S25" s="145">
        <f>'[2]6055PMU'!$R$10</f>
        <v>23945.202142799997</v>
      </c>
    </row>
    <row r="26" spans="1:19" hidden="1" x14ac:dyDescent="0.25">
      <c r="A26" s="31" t="s">
        <v>1761</v>
      </c>
      <c r="B26" s="31"/>
      <c r="C26" s="31"/>
      <c r="D26" s="31" t="s">
        <v>30</v>
      </c>
      <c r="E26" s="31"/>
      <c r="F26" s="31"/>
      <c r="G26" s="31"/>
      <c r="H26" s="31"/>
      <c r="I26" s="32"/>
      <c r="J26" s="32"/>
      <c r="K26" s="32"/>
      <c r="L26" s="34">
        <v>0</v>
      </c>
      <c r="M26" s="34">
        <v>0</v>
      </c>
      <c r="N26" s="34">
        <v>0</v>
      </c>
      <c r="O26" s="34"/>
      <c r="P26" s="34">
        <f t="shared" si="1"/>
        <v>0</v>
      </c>
      <c r="Q26" s="34"/>
    </row>
    <row r="27" spans="1:19" x14ac:dyDescent="0.25">
      <c r="A27" s="31" t="s">
        <v>168</v>
      </c>
      <c r="B27" s="31" t="s">
        <v>11</v>
      </c>
      <c r="C27" s="31" t="s">
        <v>142</v>
      </c>
      <c r="D27" s="31" t="s">
        <v>20</v>
      </c>
      <c r="E27" s="31" t="s">
        <v>143</v>
      </c>
      <c r="F27" s="31" t="s">
        <v>15</v>
      </c>
      <c r="G27" s="31" t="s">
        <v>16</v>
      </c>
      <c r="H27" s="31" t="s">
        <v>144</v>
      </c>
      <c r="I27" s="32" t="s">
        <v>18</v>
      </c>
      <c r="J27" s="32">
        <v>3</v>
      </c>
      <c r="K27" s="32"/>
      <c r="L27" s="43">
        <v>20000</v>
      </c>
      <c r="M27" s="43">
        <v>15000</v>
      </c>
      <c r="N27" s="43">
        <v>15000</v>
      </c>
    </row>
    <row r="28" spans="1:19" x14ac:dyDescent="0.25">
      <c r="A28" s="71" t="s">
        <v>1947</v>
      </c>
      <c r="B28" s="31"/>
      <c r="C28" s="31"/>
      <c r="D28" s="31" t="s">
        <v>20</v>
      </c>
      <c r="E28" s="31"/>
      <c r="F28" s="31"/>
      <c r="G28" s="31"/>
      <c r="H28" s="31"/>
      <c r="I28" s="32"/>
      <c r="J28" s="32"/>
      <c r="K28" s="32"/>
      <c r="O28" s="43">
        <v>15000</v>
      </c>
      <c r="P28" s="43">
        <v>16000</v>
      </c>
      <c r="Q28" s="43">
        <v>17000</v>
      </c>
    </row>
    <row r="29" spans="1:19" x14ac:dyDescent="0.25">
      <c r="A29" s="31" t="s">
        <v>169</v>
      </c>
      <c r="B29" s="31" t="s">
        <v>11</v>
      </c>
      <c r="C29" s="31" t="s">
        <v>142</v>
      </c>
      <c r="D29" s="31" t="s">
        <v>24</v>
      </c>
      <c r="E29" s="31" t="s">
        <v>143</v>
      </c>
      <c r="F29" s="31" t="s">
        <v>15</v>
      </c>
      <c r="G29" s="31" t="s">
        <v>16</v>
      </c>
      <c r="H29" s="31" t="s">
        <v>144</v>
      </c>
      <c r="I29" s="32" t="s">
        <v>18</v>
      </c>
      <c r="J29" s="32">
        <v>3</v>
      </c>
      <c r="K29" s="32"/>
      <c r="L29" s="43">
        <v>15000</v>
      </c>
      <c r="M29" s="43">
        <v>12000</v>
      </c>
      <c r="N29" s="43">
        <v>12000</v>
      </c>
    </row>
    <row r="30" spans="1:19" x14ac:dyDescent="0.25">
      <c r="A30" s="71" t="s">
        <v>1948</v>
      </c>
      <c r="B30" s="31"/>
      <c r="C30" s="31"/>
      <c r="D30" s="31" t="s">
        <v>24</v>
      </c>
      <c r="E30" s="31"/>
      <c r="F30" s="31"/>
      <c r="G30" s="31"/>
      <c r="H30" s="31"/>
      <c r="I30" s="32"/>
      <c r="J30" s="32"/>
      <c r="K30" s="32"/>
      <c r="O30" s="43">
        <v>12000</v>
      </c>
      <c r="P30" s="43">
        <v>13000</v>
      </c>
      <c r="Q30" s="43">
        <v>14000</v>
      </c>
    </row>
    <row r="31" spans="1:19" x14ac:dyDescent="0.25">
      <c r="A31" s="31" t="s">
        <v>2160</v>
      </c>
      <c r="B31" s="31" t="s">
        <v>11</v>
      </c>
      <c r="C31" s="31" t="s">
        <v>12</v>
      </c>
      <c r="D31" s="31" t="s">
        <v>28</v>
      </c>
      <c r="E31" s="31" t="s">
        <v>126</v>
      </c>
      <c r="F31" s="31" t="s">
        <v>37</v>
      </c>
      <c r="G31" s="31" t="s">
        <v>16</v>
      </c>
      <c r="H31" s="31" t="s">
        <v>144</v>
      </c>
      <c r="I31" s="32" t="s">
        <v>38</v>
      </c>
      <c r="J31" s="32">
        <v>3</v>
      </c>
      <c r="K31" s="32"/>
      <c r="M31" s="43">
        <f>75000-462.43</f>
        <v>74537.570000000007</v>
      </c>
      <c r="N31" s="43">
        <v>74537.570000000007</v>
      </c>
      <c r="O31" s="43">
        <v>60000</v>
      </c>
      <c r="P31" s="43">
        <v>70000</v>
      </c>
      <c r="Q31" s="43">
        <v>80000</v>
      </c>
    </row>
    <row r="32" spans="1:19" x14ac:dyDescent="0.25">
      <c r="A32" s="31" t="s">
        <v>149</v>
      </c>
      <c r="B32" s="31" t="s">
        <v>11</v>
      </c>
      <c r="C32" s="31" t="s">
        <v>142</v>
      </c>
      <c r="D32" s="31" t="s">
        <v>28</v>
      </c>
      <c r="E32" s="31" t="s">
        <v>143</v>
      </c>
      <c r="F32" s="31" t="s">
        <v>15</v>
      </c>
      <c r="G32" s="31" t="s">
        <v>16</v>
      </c>
      <c r="H32" s="31" t="s">
        <v>144</v>
      </c>
      <c r="I32" s="32" t="s">
        <v>18</v>
      </c>
      <c r="J32" s="32">
        <v>3</v>
      </c>
      <c r="K32" s="32"/>
      <c r="L32" s="43">
        <f>100000+11740.68</f>
        <v>111740.68</v>
      </c>
      <c r="M32" s="43">
        <f>25000+462.86</f>
        <v>25462.86</v>
      </c>
      <c r="N32" s="43">
        <v>25462.86</v>
      </c>
    </row>
    <row r="33" spans="1:19" x14ac:dyDescent="0.25">
      <c r="A33" s="31" t="s">
        <v>2161</v>
      </c>
      <c r="B33" s="31" t="s">
        <v>11</v>
      </c>
      <c r="C33" s="31" t="s">
        <v>12</v>
      </c>
      <c r="D33" s="31" t="s">
        <v>13</v>
      </c>
      <c r="E33" s="31" t="s">
        <v>126</v>
      </c>
      <c r="F33" s="31" t="s">
        <v>15</v>
      </c>
      <c r="G33" s="31" t="s">
        <v>16</v>
      </c>
      <c r="H33" s="31" t="s">
        <v>144</v>
      </c>
      <c r="I33" s="32" t="s">
        <v>18</v>
      </c>
      <c r="J33" s="32">
        <v>3</v>
      </c>
      <c r="K33" s="32"/>
      <c r="L33" s="43"/>
      <c r="M33" s="43"/>
      <c r="N33" s="43"/>
      <c r="O33" s="43">
        <v>12000</v>
      </c>
      <c r="P33" s="43">
        <v>14000</v>
      </c>
      <c r="Q33" s="43">
        <v>16000</v>
      </c>
    </row>
    <row r="34" spans="1:19" x14ac:dyDescent="0.25">
      <c r="A34" s="31" t="s">
        <v>148</v>
      </c>
      <c r="B34" s="31" t="s">
        <v>11</v>
      </c>
      <c r="C34" s="31" t="s">
        <v>142</v>
      </c>
      <c r="D34" s="31" t="s">
        <v>13</v>
      </c>
      <c r="E34" s="31" t="s">
        <v>143</v>
      </c>
      <c r="F34" s="31" t="s">
        <v>15</v>
      </c>
      <c r="G34" s="31" t="s">
        <v>16</v>
      </c>
      <c r="H34" s="31" t="s">
        <v>144</v>
      </c>
      <c r="I34" s="32" t="s">
        <v>18</v>
      </c>
      <c r="J34" s="32">
        <v>1</v>
      </c>
      <c r="K34" s="32"/>
      <c r="L34" s="43">
        <v>50000</v>
      </c>
      <c r="M34" s="43">
        <v>9000</v>
      </c>
      <c r="N34" s="43">
        <v>9000</v>
      </c>
      <c r="O34" s="43"/>
      <c r="P34" s="43"/>
      <c r="Q34" s="43"/>
    </row>
    <row r="35" spans="1:19" hidden="1" x14ac:dyDescent="0.25">
      <c r="A35" s="31" t="s">
        <v>2162</v>
      </c>
      <c r="B35" s="31" t="s">
        <v>11</v>
      </c>
      <c r="C35" s="31" t="s">
        <v>12</v>
      </c>
      <c r="D35" s="31" t="s">
        <v>32</v>
      </c>
      <c r="E35" s="31" t="s">
        <v>126</v>
      </c>
      <c r="F35" s="31" t="s">
        <v>37</v>
      </c>
      <c r="G35" s="31" t="s">
        <v>16</v>
      </c>
      <c r="H35" s="31" t="s">
        <v>144</v>
      </c>
      <c r="I35" s="32" t="s">
        <v>38</v>
      </c>
      <c r="J35" s="32">
        <v>3</v>
      </c>
      <c r="K35" s="32"/>
    </row>
    <row r="36" spans="1:19" x14ac:dyDescent="0.25">
      <c r="A36" s="31" t="s">
        <v>145</v>
      </c>
      <c r="B36" s="31" t="s">
        <v>11</v>
      </c>
      <c r="C36" s="31" t="s">
        <v>142</v>
      </c>
      <c r="D36" s="31" t="s">
        <v>32</v>
      </c>
      <c r="E36" s="31" t="s">
        <v>143</v>
      </c>
      <c r="F36" s="31" t="s">
        <v>15</v>
      </c>
      <c r="G36" s="31" t="s">
        <v>16</v>
      </c>
      <c r="H36" s="31" t="s">
        <v>144</v>
      </c>
      <c r="I36" s="32" t="s">
        <v>18</v>
      </c>
      <c r="J36" s="32">
        <v>1</v>
      </c>
      <c r="K36" s="32"/>
      <c r="L36" s="43">
        <v>10000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</row>
    <row r="37" spans="1:19" hidden="1" x14ac:dyDescent="0.25">
      <c r="A37" s="31" t="s">
        <v>2163</v>
      </c>
      <c r="B37" s="31" t="s">
        <v>11</v>
      </c>
      <c r="C37" s="31" t="s">
        <v>12</v>
      </c>
      <c r="D37" s="31" t="s">
        <v>26</v>
      </c>
      <c r="E37" s="31" t="s">
        <v>126</v>
      </c>
      <c r="F37" s="31" t="s">
        <v>37</v>
      </c>
      <c r="G37" s="31" t="s">
        <v>16</v>
      </c>
      <c r="H37" s="31" t="s">
        <v>144</v>
      </c>
      <c r="I37" s="32" t="s">
        <v>38</v>
      </c>
      <c r="J37" s="32">
        <v>3</v>
      </c>
      <c r="K37" s="32"/>
    </row>
    <row r="38" spans="1:19" x14ac:dyDescent="0.25">
      <c r="A38" s="31" t="s">
        <v>171</v>
      </c>
      <c r="B38" s="31" t="s">
        <v>11</v>
      </c>
      <c r="C38" s="31" t="s">
        <v>142</v>
      </c>
      <c r="D38" s="31" t="s">
        <v>26</v>
      </c>
      <c r="E38" s="31" t="s">
        <v>143</v>
      </c>
      <c r="F38" s="31" t="s">
        <v>15</v>
      </c>
      <c r="G38" s="31" t="s">
        <v>16</v>
      </c>
      <c r="H38" s="31" t="s">
        <v>144</v>
      </c>
      <c r="I38" s="32" t="s">
        <v>18</v>
      </c>
      <c r="J38" s="32">
        <v>1</v>
      </c>
      <c r="K38" s="32"/>
      <c r="L38" s="43">
        <v>6000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</row>
    <row r="39" spans="1:19" x14ac:dyDescent="0.25">
      <c r="A39" s="31" t="s">
        <v>2164</v>
      </c>
      <c r="B39" s="31" t="s">
        <v>11</v>
      </c>
      <c r="C39" s="31" t="s">
        <v>12</v>
      </c>
      <c r="D39" s="31" t="s">
        <v>22</v>
      </c>
      <c r="E39" s="31" t="s">
        <v>126</v>
      </c>
      <c r="F39" s="31" t="s">
        <v>37</v>
      </c>
      <c r="G39" s="31" t="s">
        <v>16</v>
      </c>
      <c r="H39" s="31" t="s">
        <v>144</v>
      </c>
      <c r="I39" s="32" t="s">
        <v>38</v>
      </c>
      <c r="J39" s="32">
        <v>3</v>
      </c>
      <c r="K39" s="32"/>
      <c r="L39" s="43"/>
      <c r="M39" s="43">
        <v>8000</v>
      </c>
      <c r="N39" s="43">
        <v>8000</v>
      </c>
      <c r="O39" s="43">
        <f>25000-13480.79</f>
        <v>11519.21</v>
      </c>
      <c r="P39" s="43">
        <f>26000-14073.94</f>
        <v>11926.06</v>
      </c>
      <c r="Q39" s="43">
        <f>27000-14707.27</f>
        <v>12292.73</v>
      </c>
    </row>
    <row r="40" spans="1:19" x14ac:dyDescent="0.25">
      <c r="A40" s="31" t="s">
        <v>146</v>
      </c>
      <c r="B40" s="31" t="s">
        <v>11</v>
      </c>
      <c r="C40" s="31" t="s">
        <v>142</v>
      </c>
      <c r="D40" s="31" t="s">
        <v>22</v>
      </c>
      <c r="E40" s="31" t="s">
        <v>143</v>
      </c>
      <c r="F40" s="31" t="s">
        <v>37</v>
      </c>
      <c r="G40" s="31" t="s">
        <v>16</v>
      </c>
      <c r="H40" s="31" t="s">
        <v>144</v>
      </c>
      <c r="I40" s="32" t="s">
        <v>38</v>
      </c>
      <c r="J40" s="32">
        <v>1</v>
      </c>
      <c r="K40" s="32"/>
      <c r="L40" s="43">
        <v>15000</v>
      </c>
      <c r="M40" s="43">
        <v>22000</v>
      </c>
      <c r="N40" s="43">
        <v>22000</v>
      </c>
      <c r="O40" s="34">
        <v>13480.79</v>
      </c>
      <c r="P40" s="34">
        <v>14073.94</v>
      </c>
      <c r="Q40" s="34">
        <v>14707.27</v>
      </c>
    </row>
    <row r="41" spans="1:19" s="171" customFormat="1" x14ac:dyDescent="0.25">
      <c r="A41" s="169" t="s">
        <v>2334</v>
      </c>
      <c r="B41" s="169"/>
      <c r="C41" s="169"/>
      <c r="D41" s="52" t="s">
        <v>2259</v>
      </c>
      <c r="E41" s="169"/>
      <c r="F41" s="169"/>
      <c r="G41" s="169"/>
      <c r="H41" s="169"/>
      <c r="I41" s="170"/>
      <c r="J41" s="170"/>
      <c r="K41" s="170"/>
      <c r="L41" s="43">
        <v>0</v>
      </c>
      <c r="M41" s="43">
        <v>0</v>
      </c>
      <c r="N41" s="43">
        <v>0</v>
      </c>
      <c r="O41" s="34">
        <v>4129056</v>
      </c>
      <c r="P41" s="34">
        <v>0</v>
      </c>
      <c r="Q41" s="34">
        <v>0</v>
      </c>
      <c r="S41" s="37"/>
    </row>
    <row r="42" spans="1:19" x14ac:dyDescent="0.25">
      <c r="A42" s="31"/>
      <c r="B42" s="31"/>
      <c r="C42" s="31"/>
      <c r="D42" s="31"/>
      <c r="E42" s="31"/>
      <c r="F42" s="31"/>
      <c r="G42" s="31"/>
      <c r="H42" s="31"/>
      <c r="I42" s="32"/>
      <c r="J42" s="32"/>
      <c r="K42" s="32"/>
    </row>
    <row r="43" spans="1:19" hidden="1" x14ac:dyDescent="0.25">
      <c r="A43" s="31" t="s">
        <v>172</v>
      </c>
      <c r="B43" s="31" t="s">
        <v>11</v>
      </c>
      <c r="C43" s="31" t="s">
        <v>142</v>
      </c>
      <c r="D43" s="31" t="s">
        <v>1639</v>
      </c>
      <c r="E43" s="31" t="s">
        <v>143</v>
      </c>
      <c r="F43" s="31" t="s">
        <v>15</v>
      </c>
      <c r="G43" s="31" t="s">
        <v>16</v>
      </c>
      <c r="H43" s="31" t="s">
        <v>144</v>
      </c>
      <c r="I43" s="32" t="s">
        <v>18</v>
      </c>
      <c r="J43" s="32">
        <v>3</v>
      </c>
      <c r="K43" s="32"/>
    </row>
    <row r="44" spans="1:19" hidden="1" x14ac:dyDescent="0.25">
      <c r="A44" s="71" t="s">
        <v>1949</v>
      </c>
      <c r="B44" s="31"/>
      <c r="C44" s="31"/>
      <c r="D44" s="31" t="s">
        <v>1639</v>
      </c>
      <c r="E44" s="31"/>
      <c r="F44" s="31"/>
      <c r="G44" s="31"/>
      <c r="H44" s="31"/>
      <c r="I44" s="32"/>
      <c r="J44" s="32"/>
      <c r="K44" s="32"/>
    </row>
    <row r="45" spans="1:19" hidden="1" x14ac:dyDescent="0.25"/>
    <row r="46" spans="1:19" hidden="1" x14ac:dyDescent="0.25">
      <c r="A46" s="31" t="s">
        <v>1192</v>
      </c>
      <c r="B46" s="31" t="s">
        <v>158</v>
      </c>
      <c r="C46" s="31" t="s">
        <v>142</v>
      </c>
      <c r="D46" s="31" t="s">
        <v>1698</v>
      </c>
      <c r="E46" s="31" t="s">
        <v>143</v>
      </c>
      <c r="F46" s="31" t="s">
        <v>15</v>
      </c>
      <c r="G46" s="31" t="s">
        <v>16</v>
      </c>
      <c r="H46" s="31" t="s">
        <v>144</v>
      </c>
      <c r="I46" s="32" t="s">
        <v>18</v>
      </c>
      <c r="J46" s="32">
        <v>3</v>
      </c>
      <c r="K46" s="32"/>
    </row>
    <row r="47" spans="1:19" hidden="1" x14ac:dyDescent="0.25"/>
    <row r="48" spans="1:19" s="94" customFormat="1" ht="15.75" thickBot="1" x14ac:dyDescent="0.3">
      <c r="A48" s="93" t="s">
        <v>1203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49">
        <f>SUM(L5:L47)</f>
        <v>3535716.8997912002</v>
      </c>
      <c r="M48" s="49">
        <f t="shared" ref="M48:Q48" si="4">SUM(M5:M47)</f>
        <v>3347788.0021999991</v>
      </c>
      <c r="N48" s="49">
        <f t="shared" si="4"/>
        <v>3347788.0021999991</v>
      </c>
      <c r="O48" s="49">
        <f>SUM(O5:O47)</f>
        <v>8023601.3997943997</v>
      </c>
      <c r="P48" s="49">
        <f t="shared" si="4"/>
        <v>4075449.3973853528</v>
      </c>
      <c r="Q48" s="49">
        <f t="shared" si="4"/>
        <v>4267589.620267693</v>
      </c>
      <c r="S48" s="128"/>
    </row>
    <row r="49" spans="15:15" x14ac:dyDescent="0.25">
      <c r="O49" s="37"/>
    </row>
    <row r="50" spans="15:15" x14ac:dyDescent="0.25">
      <c r="O50" s="176"/>
    </row>
  </sheetData>
  <sortState xmlns:xlrd2="http://schemas.microsoft.com/office/spreadsheetml/2017/richdata2" ref="A2:Z30">
    <sortCondition ref="D2:D30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S39"/>
  <sheetViews>
    <sheetView zoomScale="110" zoomScaleNormal="110" workbookViewId="0">
      <pane ySplit="4" topLeftCell="A12" activePane="bottomLeft" state="frozen"/>
      <selection activeCell="F10" sqref="F10"/>
      <selection pane="bottomLeft" activeCell="A2" sqref="A2"/>
    </sheetView>
  </sheetViews>
  <sheetFormatPr defaultColWidth="16.375" defaultRowHeight="15" x14ac:dyDescent="0.25"/>
  <cols>
    <col min="1" max="1" width="45.375" style="35" customWidth="1"/>
    <col min="2" max="3" width="0" style="35" hidden="1" customWidth="1"/>
    <col min="4" max="4" width="28" style="35" bestFit="1" customWidth="1"/>
    <col min="5" max="11" width="16.375" style="35" hidden="1" customWidth="1"/>
    <col min="12" max="12" width="16.375" style="37"/>
    <col min="13" max="13" width="16.375" style="35"/>
    <col min="14" max="17" width="16.375" style="171"/>
    <col min="18" max="18" width="16.375" style="35"/>
    <col min="19" max="19" width="16.375" style="37"/>
    <col min="20" max="16384" width="16.375" style="35"/>
  </cols>
  <sheetData>
    <row r="1" spans="1:19" ht="15.75" x14ac:dyDescent="0.25">
      <c r="A1" s="72" t="s">
        <v>1597</v>
      </c>
      <c r="B1" s="72"/>
      <c r="C1" s="72"/>
      <c r="D1" s="72"/>
    </row>
    <row r="2" spans="1:19" ht="15.75" x14ac:dyDescent="0.25">
      <c r="A2" s="19" t="s">
        <v>2342</v>
      </c>
      <c r="B2" s="19"/>
      <c r="C2" s="72"/>
      <c r="D2" s="72"/>
    </row>
    <row r="3" spans="1:19" ht="15.75" x14ac:dyDescent="0.25">
      <c r="A3" s="72" t="s">
        <v>1737</v>
      </c>
      <c r="B3" s="72"/>
      <c r="C3" s="72"/>
      <c r="D3" s="72"/>
    </row>
    <row r="4" spans="1:19" ht="60" x14ac:dyDescent="0.25">
      <c r="A4" s="35" t="s">
        <v>1202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48" t="s">
        <v>2193</v>
      </c>
      <c r="M4" s="48" t="s">
        <v>2230</v>
      </c>
      <c r="N4" s="48" t="s">
        <v>2340</v>
      </c>
      <c r="O4" s="48" t="s">
        <v>2343</v>
      </c>
      <c r="P4" s="48" t="s">
        <v>2228</v>
      </c>
      <c r="Q4" s="48" t="s">
        <v>2229</v>
      </c>
    </row>
    <row r="5" spans="1:19" x14ac:dyDescent="0.25">
      <c r="A5" s="31" t="s">
        <v>177</v>
      </c>
      <c r="B5" s="31" t="s">
        <v>11</v>
      </c>
      <c r="C5" s="31" t="s">
        <v>12</v>
      </c>
      <c r="D5" s="31" t="s">
        <v>157</v>
      </c>
      <c r="E5" s="31" t="s">
        <v>178</v>
      </c>
      <c r="F5" s="31" t="s">
        <v>15</v>
      </c>
      <c r="G5" s="31" t="s">
        <v>16</v>
      </c>
      <c r="H5" s="31" t="s">
        <v>179</v>
      </c>
      <c r="I5" s="32" t="s">
        <v>18</v>
      </c>
      <c r="J5" s="32">
        <v>3</v>
      </c>
      <c r="K5" s="32"/>
      <c r="L5" s="34">
        <v>6990291.7508399989</v>
      </c>
      <c r="M5" s="34">
        <v>6779835.8999999994</v>
      </c>
      <c r="N5" s="34">
        <v>6779835.8999999994</v>
      </c>
      <c r="O5" s="34">
        <f>S5</f>
        <v>7405280.3468400007</v>
      </c>
      <c r="P5" s="34">
        <f>O5*1.044</f>
        <v>7731112.682100961</v>
      </c>
      <c r="Q5" s="34">
        <f>P5*1.045</f>
        <v>8079012.7527955035</v>
      </c>
      <c r="S5" s="145">
        <f>'[1]6057MGTOTHER'!$E$24</f>
        <v>7405280.3468400007</v>
      </c>
    </row>
    <row r="6" spans="1:19" hidden="1" x14ac:dyDescent="0.25">
      <c r="A6" s="31" t="s">
        <v>207</v>
      </c>
      <c r="B6" s="31" t="s">
        <v>11</v>
      </c>
      <c r="C6" s="31" t="s">
        <v>203</v>
      </c>
      <c r="D6" s="31" t="s">
        <v>157</v>
      </c>
      <c r="E6" s="31" t="s">
        <v>178</v>
      </c>
      <c r="F6" s="31" t="s">
        <v>37</v>
      </c>
      <c r="G6" s="31" t="s">
        <v>16</v>
      </c>
      <c r="H6" s="31" t="s">
        <v>181</v>
      </c>
      <c r="I6" s="32" t="s">
        <v>38</v>
      </c>
      <c r="J6" s="32">
        <v>1</v>
      </c>
      <c r="K6" s="32"/>
      <c r="L6" s="34">
        <v>0</v>
      </c>
      <c r="M6" s="34">
        <v>0</v>
      </c>
      <c r="N6" s="34">
        <v>0</v>
      </c>
      <c r="O6" s="34">
        <f t="shared" ref="O6:O26" si="0">S6</f>
        <v>0</v>
      </c>
      <c r="P6" s="34">
        <f t="shared" ref="P6:P26" si="1">O6*1.044</f>
        <v>0</v>
      </c>
      <c r="Q6" s="34">
        <f t="shared" ref="Q6:Q26" si="2">P6*1.045</f>
        <v>0</v>
      </c>
      <c r="S6" s="145"/>
    </row>
    <row r="7" spans="1:19" hidden="1" x14ac:dyDescent="0.25">
      <c r="A7" s="31" t="s">
        <v>180</v>
      </c>
      <c r="B7" s="31" t="s">
        <v>11</v>
      </c>
      <c r="C7" s="31" t="s">
        <v>12</v>
      </c>
      <c r="D7" s="31" t="s">
        <v>86</v>
      </c>
      <c r="E7" s="31" t="s">
        <v>178</v>
      </c>
      <c r="F7" s="31" t="s">
        <v>37</v>
      </c>
      <c r="G7" s="31" t="s">
        <v>16</v>
      </c>
      <c r="H7" s="31" t="s">
        <v>181</v>
      </c>
      <c r="I7" s="32" t="s">
        <v>38</v>
      </c>
      <c r="J7" s="32">
        <v>1</v>
      </c>
      <c r="K7" s="32"/>
      <c r="L7" s="34">
        <v>0</v>
      </c>
      <c r="M7" s="34">
        <v>0</v>
      </c>
      <c r="N7" s="34">
        <v>0</v>
      </c>
      <c r="O7" s="34">
        <f t="shared" si="0"/>
        <v>0</v>
      </c>
      <c r="P7" s="34">
        <f t="shared" si="1"/>
        <v>0</v>
      </c>
      <c r="Q7" s="34">
        <f t="shared" si="2"/>
        <v>0</v>
      </c>
      <c r="S7" s="145"/>
    </row>
    <row r="8" spans="1:19" hidden="1" x14ac:dyDescent="0.25">
      <c r="A8" s="71" t="s">
        <v>180</v>
      </c>
      <c r="B8" s="31"/>
      <c r="C8" s="31"/>
      <c r="D8" s="31" t="s">
        <v>249</v>
      </c>
      <c r="E8" s="31"/>
      <c r="F8" s="31"/>
      <c r="G8" s="31"/>
      <c r="H8" s="31"/>
      <c r="I8" s="32"/>
      <c r="J8" s="32"/>
      <c r="K8" s="32"/>
      <c r="L8" s="34">
        <v>0</v>
      </c>
      <c r="M8" s="34">
        <v>0</v>
      </c>
      <c r="N8" s="34">
        <v>0</v>
      </c>
      <c r="O8" s="34">
        <f t="shared" si="0"/>
        <v>0</v>
      </c>
      <c r="P8" s="34">
        <f t="shared" si="1"/>
        <v>0</v>
      </c>
      <c r="Q8" s="34">
        <f t="shared" si="2"/>
        <v>0</v>
      </c>
      <c r="S8" s="145"/>
    </row>
    <row r="9" spans="1:19" x14ac:dyDescent="0.25">
      <c r="A9" s="31" t="s">
        <v>182</v>
      </c>
      <c r="B9" s="31" t="s">
        <v>11</v>
      </c>
      <c r="C9" s="31" t="s">
        <v>12</v>
      </c>
      <c r="D9" s="31" t="s">
        <v>1630</v>
      </c>
      <c r="E9" s="31" t="s">
        <v>178</v>
      </c>
      <c r="F9" s="31" t="s">
        <v>15</v>
      </c>
      <c r="G9" s="31" t="s">
        <v>16</v>
      </c>
      <c r="H9" s="31" t="s">
        <v>179</v>
      </c>
      <c r="I9" s="32" t="s">
        <v>18</v>
      </c>
      <c r="J9" s="32">
        <v>3</v>
      </c>
      <c r="K9" s="32"/>
      <c r="L9" s="34">
        <v>60000</v>
      </c>
      <c r="M9" s="34">
        <v>60000</v>
      </c>
      <c r="N9" s="34">
        <v>60000</v>
      </c>
      <c r="O9" s="34">
        <v>60000</v>
      </c>
      <c r="P9" s="34">
        <f t="shared" si="1"/>
        <v>62640</v>
      </c>
      <c r="Q9" s="34">
        <f t="shared" si="2"/>
        <v>65458.799999999996</v>
      </c>
      <c r="S9" s="145"/>
    </row>
    <row r="10" spans="1:19" x14ac:dyDescent="0.25">
      <c r="A10" s="31" t="s">
        <v>208</v>
      </c>
      <c r="B10" s="31" t="s">
        <v>11</v>
      </c>
      <c r="C10" s="31" t="s">
        <v>12</v>
      </c>
      <c r="D10" s="31" t="s">
        <v>153</v>
      </c>
      <c r="E10" s="31" t="s">
        <v>178</v>
      </c>
      <c r="F10" s="31" t="s">
        <v>15</v>
      </c>
      <c r="G10" s="31" t="s">
        <v>16</v>
      </c>
      <c r="H10" s="31" t="s">
        <v>179</v>
      </c>
      <c r="I10" s="32" t="s">
        <v>18</v>
      </c>
      <c r="J10" s="32">
        <v>3</v>
      </c>
      <c r="K10" s="32"/>
      <c r="L10" s="34">
        <v>582524.31256999995</v>
      </c>
      <c r="M10" s="34">
        <v>723306.62999999989</v>
      </c>
      <c r="N10" s="34">
        <v>723306.62999999989</v>
      </c>
      <c r="O10" s="34">
        <f t="shared" si="0"/>
        <v>617106.69556999998</v>
      </c>
      <c r="P10" s="34">
        <f t="shared" si="1"/>
        <v>644259.39017508004</v>
      </c>
      <c r="Q10" s="34">
        <f t="shared" si="2"/>
        <v>673251.06273295858</v>
      </c>
      <c r="S10" s="145">
        <f>'[1]6057MGTOTHER'!$I$24</f>
        <v>617106.69556999998</v>
      </c>
    </row>
    <row r="11" spans="1:19" hidden="1" x14ac:dyDescent="0.25">
      <c r="A11" s="31" t="s">
        <v>206</v>
      </c>
      <c r="B11" s="31" t="s">
        <v>11</v>
      </c>
      <c r="C11" s="31" t="s">
        <v>203</v>
      </c>
      <c r="D11" s="31" t="s">
        <v>153</v>
      </c>
      <c r="E11" s="31" t="s">
        <v>178</v>
      </c>
      <c r="F11" s="31" t="s">
        <v>37</v>
      </c>
      <c r="G11" s="31" t="s">
        <v>16</v>
      </c>
      <c r="H11" s="31" t="s">
        <v>181</v>
      </c>
      <c r="I11" s="32" t="s">
        <v>38</v>
      </c>
      <c r="J11" s="32">
        <v>1</v>
      </c>
      <c r="K11" s="32"/>
      <c r="L11" s="34">
        <v>0</v>
      </c>
      <c r="M11" s="34">
        <v>0</v>
      </c>
      <c r="N11" s="34">
        <v>0</v>
      </c>
      <c r="O11" s="34">
        <f t="shared" si="0"/>
        <v>0</v>
      </c>
      <c r="P11" s="34">
        <f t="shared" si="1"/>
        <v>0</v>
      </c>
      <c r="Q11" s="34">
        <f t="shared" si="2"/>
        <v>0</v>
      </c>
      <c r="S11" s="145"/>
    </row>
    <row r="12" spans="1:19" x14ac:dyDescent="0.25">
      <c r="A12" s="31" t="s">
        <v>2183</v>
      </c>
      <c r="B12" s="31" t="s">
        <v>11</v>
      </c>
      <c r="C12" s="31" t="s">
        <v>12</v>
      </c>
      <c r="D12" s="31" t="s">
        <v>2102</v>
      </c>
      <c r="E12" s="31" t="s">
        <v>178</v>
      </c>
      <c r="F12" s="31" t="s">
        <v>15</v>
      </c>
      <c r="G12" s="31" t="s">
        <v>16</v>
      </c>
      <c r="H12" s="31" t="s">
        <v>179</v>
      </c>
      <c r="I12" s="32" t="s">
        <v>18</v>
      </c>
      <c r="J12" s="32">
        <v>3</v>
      </c>
      <c r="K12" s="32"/>
      <c r="L12" s="34">
        <v>38418.235502399999</v>
      </c>
      <c r="M12" s="34">
        <v>37517.246180799993</v>
      </c>
      <c r="N12" s="34">
        <v>37517.246180799993</v>
      </c>
      <c r="O12" s="34">
        <f t="shared" si="0"/>
        <v>19165.509999999998</v>
      </c>
      <c r="P12" s="34">
        <f t="shared" si="1"/>
        <v>20008.792439999997</v>
      </c>
      <c r="Q12" s="34">
        <f t="shared" si="2"/>
        <v>20909.188099799994</v>
      </c>
      <c r="S12" s="145">
        <f>'[2]6057MGTOTHER'!$J$24</f>
        <v>19165.509999999998</v>
      </c>
    </row>
    <row r="13" spans="1:19" x14ac:dyDescent="0.25">
      <c r="A13" s="31" t="s">
        <v>185</v>
      </c>
      <c r="B13" s="31" t="s">
        <v>11</v>
      </c>
      <c r="C13" s="31" t="s">
        <v>12</v>
      </c>
      <c r="D13" s="31" t="s">
        <v>41</v>
      </c>
      <c r="E13" s="31" t="s">
        <v>178</v>
      </c>
      <c r="F13" s="31" t="s">
        <v>15</v>
      </c>
      <c r="G13" s="31" t="s">
        <v>16</v>
      </c>
      <c r="H13" s="31" t="s">
        <v>179</v>
      </c>
      <c r="I13" s="32" t="s">
        <v>18</v>
      </c>
      <c r="J13" s="32">
        <v>3</v>
      </c>
      <c r="K13" s="32"/>
      <c r="L13" s="34">
        <v>1537864.1851847998</v>
      </c>
      <c r="M13" s="34">
        <v>1349352.6562000001</v>
      </c>
      <c r="N13" s="34">
        <v>1349352.6562000001</v>
      </c>
      <c r="O13" s="34">
        <f t="shared" si="0"/>
        <v>1629161.6763048</v>
      </c>
      <c r="P13" s="34">
        <f t="shared" si="1"/>
        <v>1700844.7900622112</v>
      </c>
      <c r="Q13" s="34">
        <f t="shared" si="2"/>
        <v>1777382.8056150107</v>
      </c>
      <c r="S13" s="145">
        <f>'[1]6057MGTOTHER'!$K$24</f>
        <v>1629161.6763048</v>
      </c>
    </row>
    <row r="14" spans="1:19" x14ac:dyDescent="0.25">
      <c r="A14" s="31" t="s">
        <v>186</v>
      </c>
      <c r="B14" s="31" t="s">
        <v>11</v>
      </c>
      <c r="C14" s="31" t="s">
        <v>12</v>
      </c>
      <c r="D14" s="31" t="s">
        <v>36</v>
      </c>
      <c r="E14" s="31" t="s">
        <v>178</v>
      </c>
      <c r="F14" s="31" t="s">
        <v>15</v>
      </c>
      <c r="G14" s="31" t="s">
        <v>16</v>
      </c>
      <c r="H14" s="31" t="s">
        <v>179</v>
      </c>
      <c r="I14" s="32" t="s">
        <v>18</v>
      </c>
      <c r="J14" s="32">
        <v>3</v>
      </c>
      <c r="K14" s="32"/>
      <c r="L14" s="34">
        <v>558989.28</v>
      </c>
      <c r="M14" s="34">
        <v>588471.6</v>
      </c>
      <c r="N14" s="34">
        <v>588471.6</v>
      </c>
      <c r="O14" s="34">
        <f t="shared" si="0"/>
        <v>563201.28000000003</v>
      </c>
      <c r="P14" s="34">
        <f t="shared" si="1"/>
        <v>587982.13632000005</v>
      </c>
      <c r="Q14" s="34">
        <f t="shared" si="2"/>
        <v>614441.33245440002</v>
      </c>
      <c r="S14" s="145">
        <f>'[1]6057MGTOTHER'!$L$24</f>
        <v>563201.28000000003</v>
      </c>
    </row>
    <row r="15" spans="1:19" x14ac:dyDescent="0.25">
      <c r="A15" s="31" t="s">
        <v>187</v>
      </c>
      <c r="B15" s="31" t="s">
        <v>11</v>
      </c>
      <c r="C15" s="31" t="s">
        <v>12</v>
      </c>
      <c r="D15" s="31" t="s">
        <v>47</v>
      </c>
      <c r="E15" s="31" t="s">
        <v>178</v>
      </c>
      <c r="F15" s="31" t="s">
        <v>15</v>
      </c>
      <c r="G15" s="31" t="s">
        <v>16</v>
      </c>
      <c r="H15" s="31" t="s">
        <v>179</v>
      </c>
      <c r="I15" s="32" t="s">
        <v>18</v>
      </c>
      <c r="J15" s="32">
        <v>3</v>
      </c>
      <c r="K15" s="32"/>
      <c r="L15" s="34">
        <v>1177245</v>
      </c>
      <c r="M15" s="34">
        <v>1165734.42</v>
      </c>
      <c r="N15" s="34">
        <v>1165734.42</v>
      </c>
      <c r="O15" s="34">
        <f t="shared" si="0"/>
        <v>1271711.6374799998</v>
      </c>
      <c r="P15" s="34">
        <f t="shared" si="1"/>
        <v>1327666.9495291198</v>
      </c>
      <c r="Q15" s="34">
        <f t="shared" si="2"/>
        <v>1387411.9622579301</v>
      </c>
      <c r="S15" s="145">
        <f>'[1]6057MGTOTHER'!$M$24</f>
        <v>1271711.6374799998</v>
      </c>
    </row>
    <row r="16" spans="1:19" x14ac:dyDescent="0.25">
      <c r="A16" s="31" t="s">
        <v>212</v>
      </c>
      <c r="B16" s="31" t="s">
        <v>11</v>
      </c>
      <c r="C16" s="31" t="s">
        <v>12</v>
      </c>
      <c r="D16" s="31" t="s">
        <v>45</v>
      </c>
      <c r="E16" s="31" t="s">
        <v>178</v>
      </c>
      <c r="F16" s="31" t="s">
        <v>37</v>
      </c>
      <c r="G16" s="31" t="s">
        <v>16</v>
      </c>
      <c r="H16" s="31" t="s">
        <v>181</v>
      </c>
      <c r="I16" s="32" t="s">
        <v>38</v>
      </c>
      <c r="J16" s="32">
        <v>3</v>
      </c>
      <c r="K16" s="32"/>
      <c r="L16" s="34">
        <v>144555.96</v>
      </c>
      <c r="M16" s="34">
        <v>167716.95000000001</v>
      </c>
      <c r="N16" s="34">
        <v>167716.95000000001</v>
      </c>
      <c r="O16" s="34">
        <f t="shared" si="0"/>
        <v>184407.78011999998</v>
      </c>
      <c r="P16" s="34">
        <f t="shared" si="1"/>
        <v>192521.72244528</v>
      </c>
      <c r="Q16" s="34">
        <f t="shared" si="2"/>
        <v>201185.1999553176</v>
      </c>
      <c r="S16" s="145">
        <f>'[1]6057MGTOTHER'!$N$24</f>
        <v>184407.78011999998</v>
      </c>
    </row>
    <row r="17" spans="1:19" x14ac:dyDescent="0.25">
      <c r="A17" s="31" t="s">
        <v>214</v>
      </c>
      <c r="B17" s="31" t="s">
        <v>11</v>
      </c>
      <c r="C17" s="31" t="s">
        <v>12</v>
      </c>
      <c r="D17" s="31" t="s">
        <v>215</v>
      </c>
      <c r="E17" s="31" t="s">
        <v>178</v>
      </c>
      <c r="F17" s="31" t="s">
        <v>37</v>
      </c>
      <c r="G17" s="31" t="s">
        <v>16</v>
      </c>
      <c r="H17" s="31" t="s">
        <v>181</v>
      </c>
      <c r="I17" s="32" t="s">
        <v>38</v>
      </c>
      <c r="J17" s="32">
        <v>1</v>
      </c>
      <c r="K17" s="32"/>
      <c r="L17" s="34">
        <v>5000</v>
      </c>
      <c r="M17" s="34">
        <v>10000</v>
      </c>
      <c r="N17" s="34">
        <v>10000</v>
      </c>
      <c r="O17" s="34">
        <f t="shared" si="0"/>
        <v>10000</v>
      </c>
      <c r="P17" s="34">
        <f t="shared" si="1"/>
        <v>10440</v>
      </c>
      <c r="Q17" s="34">
        <f t="shared" si="2"/>
        <v>10909.8</v>
      </c>
      <c r="S17" s="145">
        <f>'[1]6057MGTOTHER'!$O$24</f>
        <v>10000</v>
      </c>
    </row>
    <row r="18" spans="1:19" x14ac:dyDescent="0.25">
      <c r="A18" s="31" t="s">
        <v>189</v>
      </c>
      <c r="B18" s="31" t="s">
        <v>11</v>
      </c>
      <c r="C18" s="31" t="s">
        <v>12</v>
      </c>
      <c r="D18" s="31" t="s">
        <v>156</v>
      </c>
      <c r="E18" s="31" t="s">
        <v>178</v>
      </c>
      <c r="F18" s="31" t="s">
        <v>15</v>
      </c>
      <c r="G18" s="31" t="s">
        <v>16</v>
      </c>
      <c r="H18" s="31" t="s">
        <v>179</v>
      </c>
      <c r="I18" s="32" t="s">
        <v>18</v>
      </c>
      <c r="J18" s="32">
        <v>3</v>
      </c>
      <c r="K18" s="32"/>
      <c r="L18" s="34">
        <v>11574.119999999999</v>
      </c>
      <c r="M18" s="34">
        <v>11574.119999999999</v>
      </c>
      <c r="N18" s="34">
        <v>11574.119999999999</v>
      </c>
      <c r="O18" s="34">
        <f t="shared" si="0"/>
        <v>12141.251879999998</v>
      </c>
      <c r="P18" s="34">
        <f t="shared" si="1"/>
        <v>12675.466962719998</v>
      </c>
      <c r="Q18" s="34">
        <f t="shared" si="2"/>
        <v>13245.862976042397</v>
      </c>
      <c r="S18" s="145">
        <f>'[1]6057MGTOTHER'!$P$24</f>
        <v>12141.251879999998</v>
      </c>
    </row>
    <row r="19" spans="1:19" x14ac:dyDescent="0.25">
      <c r="A19" s="31" t="s">
        <v>190</v>
      </c>
      <c r="B19" s="31" t="s">
        <v>11</v>
      </c>
      <c r="C19" s="31" t="s">
        <v>12</v>
      </c>
      <c r="D19" s="31" t="s">
        <v>151</v>
      </c>
      <c r="E19" s="31" t="s">
        <v>178</v>
      </c>
      <c r="F19" s="31" t="s">
        <v>15</v>
      </c>
      <c r="G19" s="31" t="s">
        <v>16</v>
      </c>
      <c r="H19" s="31" t="s">
        <v>179</v>
      </c>
      <c r="I19" s="32" t="s">
        <v>18</v>
      </c>
      <c r="J19" s="32">
        <v>3</v>
      </c>
      <c r="K19" s="32"/>
      <c r="L19" s="34">
        <v>2494.8000000000002</v>
      </c>
      <c r="M19" s="34">
        <v>2441.0999999999995</v>
      </c>
      <c r="N19" s="34">
        <v>2441.0999999999995</v>
      </c>
      <c r="O19" s="34">
        <f t="shared" si="0"/>
        <v>2595.599999999999</v>
      </c>
      <c r="P19" s="34">
        <f t="shared" si="1"/>
        <v>2709.806399999999</v>
      </c>
      <c r="Q19" s="34">
        <f t="shared" si="2"/>
        <v>2831.747687999999</v>
      </c>
      <c r="S19" s="145">
        <f>'[1]6057MGTOTHER'!$R$24</f>
        <v>2595.599999999999</v>
      </c>
    </row>
    <row r="20" spans="1:19" hidden="1" x14ac:dyDescent="0.25">
      <c r="A20" s="31" t="s">
        <v>213</v>
      </c>
      <c r="B20" s="31" t="s">
        <v>11</v>
      </c>
      <c r="C20" s="31" t="s">
        <v>12</v>
      </c>
      <c r="D20" s="31" t="s">
        <v>162</v>
      </c>
      <c r="E20" s="31" t="s">
        <v>178</v>
      </c>
      <c r="F20" s="31" t="s">
        <v>37</v>
      </c>
      <c r="G20" s="31" t="s">
        <v>16</v>
      </c>
      <c r="H20" s="31" t="s">
        <v>181</v>
      </c>
      <c r="I20" s="32" t="s">
        <v>38</v>
      </c>
      <c r="J20" s="32">
        <v>1</v>
      </c>
      <c r="K20" s="32"/>
      <c r="L20" s="34">
        <v>0</v>
      </c>
      <c r="M20" s="34">
        <v>0</v>
      </c>
      <c r="N20" s="34">
        <v>0</v>
      </c>
      <c r="O20" s="34">
        <f t="shared" si="0"/>
        <v>0</v>
      </c>
      <c r="P20" s="34">
        <f t="shared" si="1"/>
        <v>0</v>
      </c>
      <c r="Q20" s="34">
        <f t="shared" si="2"/>
        <v>0</v>
      </c>
      <c r="S20" s="145"/>
    </row>
    <row r="21" spans="1:19" x14ac:dyDescent="0.25">
      <c r="A21" s="31" t="s">
        <v>192</v>
      </c>
      <c r="B21" s="31" t="s">
        <v>11</v>
      </c>
      <c r="C21" s="31" t="s">
        <v>12</v>
      </c>
      <c r="D21" s="31" t="s">
        <v>193</v>
      </c>
      <c r="E21" s="31" t="s">
        <v>178</v>
      </c>
      <c r="F21" s="31" t="s">
        <v>37</v>
      </c>
      <c r="G21" s="31" t="s">
        <v>16</v>
      </c>
      <c r="H21" s="31" t="s">
        <v>181</v>
      </c>
      <c r="I21" s="32" t="s">
        <v>38</v>
      </c>
      <c r="J21" s="32">
        <v>1</v>
      </c>
      <c r="K21" s="32"/>
      <c r="L21" s="34">
        <v>98421</v>
      </c>
      <c r="M21" s="34">
        <v>34984.160000000003</v>
      </c>
      <c r="N21" s="34">
        <v>34984.160000000003</v>
      </c>
      <c r="O21" s="34">
        <f t="shared" si="0"/>
        <v>52476.240000000005</v>
      </c>
      <c r="P21" s="34">
        <f t="shared" si="1"/>
        <v>54785.194560000011</v>
      </c>
      <c r="Q21" s="34">
        <f t="shared" si="2"/>
        <v>57250.528315200005</v>
      </c>
      <c r="S21" s="145">
        <f>'[1]6057MGTOTHER'!$S$24</f>
        <v>52476.240000000005</v>
      </c>
    </row>
    <row r="22" spans="1:19" x14ac:dyDescent="0.25">
      <c r="A22" s="31" t="s">
        <v>194</v>
      </c>
      <c r="B22" s="31" t="s">
        <v>11</v>
      </c>
      <c r="C22" s="31" t="s">
        <v>12</v>
      </c>
      <c r="D22" s="31" t="s">
        <v>43</v>
      </c>
      <c r="E22" s="31" t="s">
        <v>178</v>
      </c>
      <c r="F22" s="31" t="s">
        <v>15</v>
      </c>
      <c r="G22" s="31" t="s">
        <v>16</v>
      </c>
      <c r="H22" s="31" t="s">
        <v>179</v>
      </c>
      <c r="I22" s="32" t="s">
        <v>18</v>
      </c>
      <c r="J22" s="32">
        <v>3</v>
      </c>
      <c r="K22" s="32"/>
      <c r="L22" s="34">
        <v>31444.560000000009</v>
      </c>
      <c r="M22" s="34">
        <v>46890.308099999995</v>
      </c>
      <c r="N22" s="34">
        <v>46890.308099999995</v>
      </c>
      <c r="O22" s="34">
        <f t="shared" si="0"/>
        <v>31444.560000000009</v>
      </c>
      <c r="P22" s="34">
        <f t="shared" si="1"/>
        <v>32828.120640000008</v>
      </c>
      <c r="Q22" s="34">
        <f t="shared" si="2"/>
        <v>34305.386068800006</v>
      </c>
      <c r="S22" s="145">
        <f>'[1]6057MGTOTHER'!$T$24</f>
        <v>31444.560000000009</v>
      </c>
    </row>
    <row r="23" spans="1:19" x14ac:dyDescent="0.25">
      <c r="A23" s="31" t="s">
        <v>2184</v>
      </c>
      <c r="B23" s="31" t="s">
        <v>11</v>
      </c>
      <c r="C23" s="31" t="s">
        <v>203</v>
      </c>
      <c r="D23" s="31" t="s">
        <v>162</v>
      </c>
      <c r="E23" s="31" t="s">
        <v>178</v>
      </c>
      <c r="F23" s="31" t="s">
        <v>37</v>
      </c>
      <c r="G23" s="31" t="s">
        <v>16</v>
      </c>
      <c r="H23" s="31" t="s">
        <v>181</v>
      </c>
      <c r="I23" s="32" t="s">
        <v>38</v>
      </c>
      <c r="J23" s="32">
        <v>1</v>
      </c>
      <c r="K23" s="32"/>
      <c r="L23" s="34">
        <v>263708.34787583991</v>
      </c>
      <c r="M23" s="34">
        <v>309526.68728831998</v>
      </c>
      <c r="N23" s="34">
        <v>309526.68728831998</v>
      </c>
      <c r="O23" s="34">
        <f t="shared" si="0"/>
        <v>116122.20728831997</v>
      </c>
      <c r="P23" s="34">
        <f t="shared" si="1"/>
        <v>121231.58440900606</v>
      </c>
      <c r="Q23" s="34">
        <f t="shared" si="2"/>
        <v>126687.00570741131</v>
      </c>
      <c r="S23" s="145">
        <f>'[1]6057MGTOTHER'!$F$24</f>
        <v>116122.20728831997</v>
      </c>
    </row>
    <row r="24" spans="1:19" x14ac:dyDescent="0.25">
      <c r="A24" s="31"/>
      <c r="B24" s="31"/>
      <c r="C24" s="31"/>
      <c r="D24" s="31"/>
      <c r="E24" s="31"/>
      <c r="F24" s="31"/>
      <c r="G24" s="31"/>
      <c r="H24" s="31"/>
      <c r="I24" s="32"/>
      <c r="J24" s="32"/>
      <c r="K24" s="32"/>
      <c r="L24" s="34"/>
      <c r="M24" s="34"/>
      <c r="N24" s="34"/>
      <c r="O24" s="34"/>
      <c r="P24" s="34"/>
      <c r="Q24" s="34"/>
      <c r="S24" s="145"/>
    </row>
    <row r="25" spans="1:19" hidden="1" x14ac:dyDescent="0.25">
      <c r="A25" s="31" t="s">
        <v>202</v>
      </c>
      <c r="B25" s="31" t="s">
        <v>11</v>
      </c>
      <c r="C25" s="31" t="s">
        <v>203</v>
      </c>
      <c r="D25" s="31" t="s">
        <v>204</v>
      </c>
      <c r="E25" s="31" t="s">
        <v>178</v>
      </c>
      <c r="F25" s="31" t="s">
        <v>37</v>
      </c>
      <c r="G25" s="31" t="s">
        <v>16</v>
      </c>
      <c r="H25" s="31" t="s">
        <v>181</v>
      </c>
      <c r="I25" s="32" t="s">
        <v>38</v>
      </c>
      <c r="J25" s="32">
        <v>1</v>
      </c>
      <c r="K25" s="32"/>
      <c r="L25" s="34">
        <v>0</v>
      </c>
      <c r="M25" s="34">
        <v>0</v>
      </c>
      <c r="N25" s="34">
        <v>0</v>
      </c>
      <c r="O25" s="34">
        <f t="shared" si="0"/>
        <v>0</v>
      </c>
      <c r="P25" s="34">
        <f t="shared" si="1"/>
        <v>0</v>
      </c>
      <c r="Q25" s="34">
        <f t="shared" si="2"/>
        <v>0</v>
      </c>
      <c r="S25" s="145"/>
    </row>
    <row r="26" spans="1:19" x14ac:dyDescent="0.25">
      <c r="A26" s="31" t="s">
        <v>191</v>
      </c>
      <c r="B26" s="31" t="s">
        <v>11</v>
      </c>
      <c r="C26" s="31" t="s">
        <v>12</v>
      </c>
      <c r="D26" s="31" t="s">
        <v>30</v>
      </c>
      <c r="E26" s="31" t="s">
        <v>178</v>
      </c>
      <c r="F26" s="31" t="s">
        <v>15</v>
      </c>
      <c r="G26" s="31" t="s">
        <v>16</v>
      </c>
      <c r="H26" s="31" t="s">
        <v>179</v>
      </c>
      <c r="I26" s="32" t="s">
        <v>18</v>
      </c>
      <c r="J26" s="32">
        <v>3</v>
      </c>
      <c r="K26" s="32"/>
      <c r="L26" s="34">
        <v>69902.917508399987</v>
      </c>
      <c r="M26" s="34">
        <v>80531.722099999999</v>
      </c>
      <c r="N26" s="34">
        <v>80531.722099999999</v>
      </c>
      <c r="O26" s="34">
        <f t="shared" si="0"/>
        <v>74052.803468400001</v>
      </c>
      <c r="P26" s="34">
        <f t="shared" si="1"/>
        <v>77311.126821009602</v>
      </c>
      <c r="Q26" s="34">
        <f t="shared" si="2"/>
        <v>80790.127527955032</v>
      </c>
      <c r="S26" s="145">
        <f>'[1]6057MGTOTHER'!$Q$24</f>
        <v>74052.803468400001</v>
      </c>
    </row>
    <row r="27" spans="1:19" hidden="1" x14ac:dyDescent="0.25">
      <c r="A27" s="31" t="s">
        <v>188</v>
      </c>
      <c r="B27" s="31" t="s">
        <v>11</v>
      </c>
      <c r="C27" s="31" t="s">
        <v>12</v>
      </c>
      <c r="D27" s="31" t="s">
        <v>20</v>
      </c>
      <c r="E27" s="31" t="s">
        <v>178</v>
      </c>
      <c r="F27" s="31" t="s">
        <v>15</v>
      </c>
      <c r="G27" s="31" t="s">
        <v>16</v>
      </c>
      <c r="H27" s="31" t="s">
        <v>179</v>
      </c>
      <c r="I27" s="32" t="s">
        <v>18</v>
      </c>
      <c r="J27" s="32">
        <v>3</v>
      </c>
      <c r="K27" s="32"/>
      <c r="L27" s="34"/>
      <c r="M27" s="34"/>
      <c r="N27" s="34"/>
      <c r="O27" s="34"/>
      <c r="P27" s="34"/>
      <c r="Q27" s="34"/>
    </row>
    <row r="28" spans="1:19" x14ac:dyDescent="0.25">
      <c r="A28" s="31" t="s">
        <v>200</v>
      </c>
      <c r="B28" s="31" t="s">
        <v>11</v>
      </c>
      <c r="C28" s="31" t="s">
        <v>89</v>
      </c>
      <c r="D28" s="31" t="s">
        <v>20</v>
      </c>
      <c r="E28" s="31" t="s">
        <v>178</v>
      </c>
      <c r="F28" s="31" t="s">
        <v>15</v>
      </c>
      <c r="G28" s="31" t="s">
        <v>16</v>
      </c>
      <c r="H28" s="31" t="s">
        <v>179</v>
      </c>
      <c r="I28" s="32" t="s">
        <v>18</v>
      </c>
      <c r="J28" s="32">
        <v>3</v>
      </c>
      <c r="K28" s="32"/>
      <c r="L28" s="43">
        <v>3500</v>
      </c>
      <c r="M28" s="43">
        <v>4200</v>
      </c>
      <c r="N28" s="43">
        <v>4200</v>
      </c>
      <c r="O28" s="43">
        <v>4200</v>
      </c>
      <c r="P28" s="43">
        <v>4200</v>
      </c>
      <c r="Q28" s="43">
        <v>4200</v>
      </c>
    </row>
    <row r="29" spans="1:19" hidden="1" x14ac:dyDescent="0.25">
      <c r="A29" s="31" t="s">
        <v>210</v>
      </c>
      <c r="B29" s="31" t="s">
        <v>11</v>
      </c>
      <c r="C29" s="31" t="s">
        <v>203</v>
      </c>
      <c r="D29" s="31" t="s">
        <v>20</v>
      </c>
      <c r="E29" s="31" t="s">
        <v>178</v>
      </c>
      <c r="F29" s="31" t="s">
        <v>37</v>
      </c>
      <c r="G29" s="31" t="s">
        <v>16</v>
      </c>
      <c r="H29" s="31" t="s">
        <v>181</v>
      </c>
      <c r="I29" s="32" t="s">
        <v>38</v>
      </c>
      <c r="J29" s="32">
        <v>1</v>
      </c>
      <c r="K29" s="32"/>
      <c r="L29" s="43"/>
      <c r="M29" s="43"/>
      <c r="N29" s="43"/>
      <c r="O29" s="43"/>
      <c r="P29" s="43"/>
      <c r="Q29" s="43"/>
    </row>
    <row r="30" spans="1:19" x14ac:dyDescent="0.25">
      <c r="A30" s="31" t="s">
        <v>201</v>
      </c>
      <c r="B30" s="31" t="s">
        <v>11</v>
      </c>
      <c r="C30" s="31" t="s">
        <v>12</v>
      </c>
      <c r="D30" s="31" t="s">
        <v>24</v>
      </c>
      <c r="E30" s="31" t="s">
        <v>178</v>
      </c>
      <c r="F30" s="31" t="s">
        <v>15</v>
      </c>
      <c r="G30" s="31" t="s">
        <v>16</v>
      </c>
      <c r="H30" s="31" t="s">
        <v>179</v>
      </c>
      <c r="I30" s="32" t="s">
        <v>18</v>
      </c>
      <c r="J30" s="32">
        <v>3</v>
      </c>
      <c r="K30" s="32"/>
      <c r="L30" s="43">
        <v>3500</v>
      </c>
      <c r="M30" s="43">
        <v>20000</v>
      </c>
      <c r="N30" s="43">
        <v>20000</v>
      </c>
      <c r="O30" s="43">
        <v>20000</v>
      </c>
      <c r="P30" s="43">
        <v>20000</v>
      </c>
      <c r="Q30" s="43">
        <v>20000</v>
      </c>
    </row>
    <row r="31" spans="1:19" hidden="1" x14ac:dyDescent="0.25">
      <c r="A31" s="31" t="s">
        <v>211</v>
      </c>
      <c r="B31" s="31" t="s">
        <v>11</v>
      </c>
      <c r="C31" s="31" t="s">
        <v>203</v>
      </c>
      <c r="D31" s="31" t="s">
        <v>24</v>
      </c>
      <c r="E31" s="31" t="s">
        <v>178</v>
      </c>
      <c r="F31" s="31" t="s">
        <v>37</v>
      </c>
      <c r="G31" s="31" t="s">
        <v>16</v>
      </c>
      <c r="H31" s="31" t="s">
        <v>181</v>
      </c>
      <c r="I31" s="32" t="s">
        <v>38</v>
      </c>
      <c r="J31" s="32">
        <v>1</v>
      </c>
      <c r="K31" s="32"/>
      <c r="L31" s="43"/>
      <c r="M31" s="43"/>
      <c r="N31" s="43"/>
      <c r="O31" s="43"/>
      <c r="P31" s="43"/>
      <c r="Q31" s="43"/>
    </row>
    <row r="32" spans="1:19" x14ac:dyDescent="0.25">
      <c r="A32" s="31" t="s">
        <v>199</v>
      </c>
      <c r="B32" s="31" t="s">
        <v>11</v>
      </c>
      <c r="C32" s="31" t="s">
        <v>12</v>
      </c>
      <c r="D32" s="31" t="s">
        <v>28</v>
      </c>
      <c r="E32" s="31" t="s">
        <v>178</v>
      </c>
      <c r="F32" s="31" t="s">
        <v>15</v>
      </c>
      <c r="G32" s="31" t="s">
        <v>16</v>
      </c>
      <c r="H32" s="31" t="s">
        <v>179</v>
      </c>
      <c r="I32" s="32" t="s">
        <v>18</v>
      </c>
      <c r="J32" s="32">
        <v>3</v>
      </c>
      <c r="K32" s="32"/>
      <c r="L32" s="43">
        <v>50000</v>
      </c>
      <c r="M32" s="43">
        <v>100000</v>
      </c>
      <c r="N32" s="43">
        <v>100000</v>
      </c>
      <c r="O32" s="43">
        <v>100000</v>
      </c>
      <c r="P32" s="43">
        <v>100000</v>
      </c>
      <c r="Q32" s="43">
        <v>100000</v>
      </c>
    </row>
    <row r="33" spans="1:19" hidden="1" x14ac:dyDescent="0.25">
      <c r="A33" s="31" t="s">
        <v>209</v>
      </c>
      <c r="B33" s="31" t="s">
        <v>11</v>
      </c>
      <c r="C33" s="31" t="s">
        <v>203</v>
      </c>
      <c r="D33" s="31" t="s">
        <v>28</v>
      </c>
      <c r="E33" s="31" t="s">
        <v>178</v>
      </c>
      <c r="F33" s="31" t="s">
        <v>37</v>
      </c>
      <c r="G33" s="31" t="s">
        <v>16</v>
      </c>
      <c r="H33" s="31" t="s">
        <v>181</v>
      </c>
      <c r="I33" s="32" t="s">
        <v>38</v>
      </c>
      <c r="J33" s="32">
        <v>1</v>
      </c>
      <c r="K33" s="32"/>
      <c r="L33" s="43"/>
      <c r="M33" s="43"/>
      <c r="N33" s="43"/>
      <c r="O33" s="43"/>
      <c r="P33" s="43"/>
      <c r="Q33" s="43"/>
    </row>
    <row r="34" spans="1:19" x14ac:dyDescent="0.25">
      <c r="A34" s="31" t="s">
        <v>197</v>
      </c>
      <c r="B34" s="31" t="s">
        <v>11</v>
      </c>
      <c r="C34" s="31" t="s">
        <v>12</v>
      </c>
      <c r="D34" s="31" t="s">
        <v>13</v>
      </c>
      <c r="E34" s="31" t="s">
        <v>178</v>
      </c>
      <c r="F34" s="31" t="s">
        <v>15</v>
      </c>
      <c r="G34" s="31" t="s">
        <v>16</v>
      </c>
      <c r="H34" s="31" t="s">
        <v>179</v>
      </c>
      <c r="I34" s="32" t="s">
        <v>18</v>
      </c>
      <c r="J34" s="32">
        <v>3</v>
      </c>
      <c r="K34" s="32"/>
      <c r="L34" s="43">
        <v>65000</v>
      </c>
      <c r="M34" s="43">
        <v>300000</v>
      </c>
      <c r="N34" s="43">
        <v>300000</v>
      </c>
      <c r="O34" s="43">
        <v>300000</v>
      </c>
      <c r="P34" s="43">
        <v>300000</v>
      </c>
      <c r="Q34" s="43">
        <v>300000</v>
      </c>
    </row>
    <row r="35" spans="1:19" x14ac:dyDescent="0.25">
      <c r="A35" s="31" t="s">
        <v>195</v>
      </c>
      <c r="B35" s="31" t="s">
        <v>11</v>
      </c>
      <c r="C35" s="31" t="s">
        <v>12</v>
      </c>
      <c r="D35" s="31" t="s">
        <v>32</v>
      </c>
      <c r="E35" s="31" t="s">
        <v>178</v>
      </c>
      <c r="F35" s="31" t="s">
        <v>15</v>
      </c>
      <c r="G35" s="31" t="s">
        <v>16</v>
      </c>
      <c r="H35" s="31" t="s">
        <v>179</v>
      </c>
      <c r="I35" s="32" t="s">
        <v>18</v>
      </c>
      <c r="J35" s="32">
        <v>3</v>
      </c>
      <c r="K35" s="32"/>
      <c r="L35" s="43">
        <v>10000</v>
      </c>
      <c r="M35" s="43">
        <v>0</v>
      </c>
      <c r="N35" s="43">
        <v>0</v>
      </c>
      <c r="O35" s="43">
        <v>10000</v>
      </c>
      <c r="P35" s="43">
        <v>10000</v>
      </c>
      <c r="Q35" s="43">
        <v>10000</v>
      </c>
    </row>
    <row r="36" spans="1:19" x14ac:dyDescent="0.25">
      <c r="A36" s="31" t="s">
        <v>196</v>
      </c>
      <c r="B36" s="31" t="s">
        <v>11</v>
      </c>
      <c r="C36" s="31" t="s">
        <v>12</v>
      </c>
      <c r="D36" s="31" t="s">
        <v>26</v>
      </c>
      <c r="E36" s="31" t="s">
        <v>178</v>
      </c>
      <c r="F36" s="31" t="s">
        <v>15</v>
      </c>
      <c r="G36" s="31" t="s">
        <v>16</v>
      </c>
      <c r="H36" s="31" t="s">
        <v>179</v>
      </c>
      <c r="I36" s="32" t="s">
        <v>18</v>
      </c>
      <c r="J36" s="32">
        <v>3</v>
      </c>
      <c r="K36" s="32"/>
      <c r="L36" s="43">
        <v>5000</v>
      </c>
      <c r="M36" s="43">
        <v>0</v>
      </c>
      <c r="N36" s="43">
        <v>0</v>
      </c>
      <c r="O36" s="43">
        <v>5000</v>
      </c>
      <c r="P36" s="43">
        <v>5000</v>
      </c>
      <c r="Q36" s="43">
        <v>5000</v>
      </c>
    </row>
    <row r="37" spans="1:19" x14ac:dyDescent="0.25">
      <c r="A37" s="31" t="s">
        <v>198</v>
      </c>
      <c r="B37" s="31" t="s">
        <v>11</v>
      </c>
      <c r="C37" s="31" t="s">
        <v>12</v>
      </c>
      <c r="D37" s="31" t="s">
        <v>22</v>
      </c>
      <c r="E37" s="31" t="s">
        <v>178</v>
      </c>
      <c r="F37" s="31" t="s">
        <v>15</v>
      </c>
      <c r="G37" s="31" t="s">
        <v>16</v>
      </c>
      <c r="H37" s="31" t="s">
        <v>179</v>
      </c>
      <c r="I37" s="32" t="s">
        <v>18</v>
      </c>
      <c r="J37" s="32">
        <v>3</v>
      </c>
      <c r="K37" s="32"/>
      <c r="L37" s="43">
        <v>22000</v>
      </c>
      <c r="M37" s="43">
        <v>100000</v>
      </c>
      <c r="N37" s="43">
        <v>100000</v>
      </c>
      <c r="O37" s="43">
        <v>100000</v>
      </c>
      <c r="P37" s="43">
        <v>100000</v>
      </c>
      <c r="Q37" s="43">
        <v>100000</v>
      </c>
    </row>
    <row r="38" spans="1:19" x14ac:dyDescent="0.25">
      <c r="A38" s="31"/>
      <c r="B38" s="31"/>
      <c r="C38" s="31"/>
    </row>
    <row r="39" spans="1:19" s="94" customFormat="1" ht="15.75" thickBot="1" x14ac:dyDescent="0.3">
      <c r="A39" s="93" t="s">
        <v>1203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1">
        <f t="shared" ref="L39:Q39" si="3">SUM(L5:L38)</f>
        <v>11731434.469481438</v>
      </c>
      <c r="M39" s="91">
        <f t="shared" si="3"/>
        <v>11892083.499869118</v>
      </c>
      <c r="N39" s="91">
        <f t="shared" si="3"/>
        <v>11892083.499869118</v>
      </c>
      <c r="O39" s="91">
        <f t="shared" si="3"/>
        <v>12588067.588951521</v>
      </c>
      <c r="P39" s="91">
        <f t="shared" si="3"/>
        <v>13118217.762865389</v>
      </c>
      <c r="Q39" s="91">
        <f t="shared" si="3"/>
        <v>13684273.562194332</v>
      </c>
      <c r="S39" s="128"/>
    </row>
  </sheetData>
  <sortState xmlns:xlrd2="http://schemas.microsoft.com/office/spreadsheetml/2017/richdata2" ref="A2:Z32">
    <sortCondition ref="D2:D32"/>
  </sortState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68</vt:i4>
      </vt:variant>
    </vt:vector>
  </HeadingPairs>
  <TitlesOfParts>
    <vt:vector size="108" baseType="lpstr">
      <vt:lpstr>SUMM</vt:lpstr>
      <vt:lpstr>SUMMINC</vt:lpstr>
      <vt:lpstr>SUMMEXP</vt:lpstr>
      <vt:lpstr>PROJECTS</vt:lpstr>
      <vt:lpstr>PROGRAMMES</vt:lpstr>
      <vt:lpstr>6805_Council Services</vt:lpstr>
      <vt:lpstr>6053_Senior Management</vt:lpstr>
      <vt:lpstr>6055_PMU</vt:lpstr>
      <vt:lpstr>6057_Risk Mgt</vt:lpstr>
      <vt:lpstr>6059_Internal Audit</vt:lpstr>
      <vt:lpstr>6103_HRM</vt:lpstr>
      <vt:lpstr>6104_HRD</vt:lpstr>
      <vt:lpstr>6105_Information Tech</vt:lpstr>
      <vt:lpstr>6107_Property Services</vt:lpstr>
      <vt:lpstr>6108_Legal</vt:lpstr>
      <vt:lpstr>6109_Admin</vt:lpstr>
      <vt:lpstr>6111_Fleet MGT</vt:lpstr>
      <vt:lpstr>6114_Asset Mgt</vt:lpstr>
      <vt:lpstr>6113_SCM</vt:lpstr>
      <vt:lpstr>6115_Revenue</vt:lpstr>
      <vt:lpstr>6117_Expenditure</vt:lpstr>
      <vt:lpstr>6119_BTO</vt:lpstr>
      <vt:lpstr>6121_Payroll</vt:lpstr>
      <vt:lpstr>6151_Strategic Planning</vt:lpstr>
      <vt:lpstr>6153_LED</vt:lpstr>
      <vt:lpstr>6155_Town Planning Adm</vt:lpstr>
      <vt:lpstr>6251_Library Services</vt:lpstr>
      <vt:lpstr>6255_Community Facilities</vt:lpstr>
      <vt:lpstr>6267_Cemetery</vt:lpstr>
      <vt:lpstr>6273_Community Other</vt:lpstr>
      <vt:lpstr>6301_Housing</vt:lpstr>
      <vt:lpstr>6351_Security Services</vt:lpstr>
      <vt:lpstr>6353_Disaster Mgt</vt:lpstr>
      <vt:lpstr>6401Roads Operations(Sports)</vt:lpstr>
      <vt:lpstr>6501_Solid Waste</vt:lpstr>
      <vt:lpstr>6601_Roads</vt:lpstr>
      <vt:lpstr>6603Public Transport</vt:lpstr>
      <vt:lpstr>6607_Vehicle &amp; Licensing</vt:lpstr>
      <vt:lpstr>6707_Electricity Operations</vt:lpstr>
      <vt:lpstr>Workings</vt:lpstr>
      <vt:lpstr>'6055_PMU'!_FilterDatabase</vt:lpstr>
      <vt:lpstr>'6057_Risk Mgt'!_FilterDatabase</vt:lpstr>
      <vt:lpstr>'6059_Internal Audit'!_FilterDatabase</vt:lpstr>
      <vt:lpstr>'6103_HRM'!_FilterDatabase</vt:lpstr>
      <vt:lpstr>'6104_HRD'!_FilterDatabase</vt:lpstr>
      <vt:lpstr>'6105_Information Tech'!_FilterDatabase</vt:lpstr>
      <vt:lpstr>'6107_Property Services'!_FilterDatabase</vt:lpstr>
      <vt:lpstr>'6108_Legal'!_FilterDatabase</vt:lpstr>
      <vt:lpstr>'6109_Admin'!_FilterDatabase</vt:lpstr>
      <vt:lpstr>'6111_Fleet MGT'!_FilterDatabase</vt:lpstr>
      <vt:lpstr>'6113_SCM'!_FilterDatabase</vt:lpstr>
      <vt:lpstr>'6114_Asset Mgt'!_FilterDatabase</vt:lpstr>
      <vt:lpstr>'6117_Expenditure'!_FilterDatabase</vt:lpstr>
      <vt:lpstr>'6119_BTO'!_FilterDatabase</vt:lpstr>
      <vt:lpstr>'6121_Payroll'!_FilterDatabase</vt:lpstr>
      <vt:lpstr>'6151_Strategic Planning'!_FilterDatabase</vt:lpstr>
      <vt:lpstr>'6153_LED'!_FilterDatabase</vt:lpstr>
      <vt:lpstr>'6155_Town Planning Adm'!_FilterDatabase</vt:lpstr>
      <vt:lpstr>'6251_Library Services'!_FilterDatabase</vt:lpstr>
      <vt:lpstr>'6255_Community Facilities'!_FilterDatabase</vt:lpstr>
      <vt:lpstr>'6267_Cemetery'!_FilterDatabase</vt:lpstr>
      <vt:lpstr>'6273_Community Other'!_FilterDatabase</vt:lpstr>
      <vt:lpstr>'6301_Housing'!_FilterDatabase</vt:lpstr>
      <vt:lpstr>'6351_Security Services'!_FilterDatabase</vt:lpstr>
      <vt:lpstr>'6353_Disaster Mgt'!_FilterDatabase</vt:lpstr>
      <vt:lpstr>'6401Roads Operations(Sports)'!_FilterDatabase</vt:lpstr>
      <vt:lpstr>'6501_Solid Waste'!_FilterDatabase</vt:lpstr>
      <vt:lpstr>'6601_Roads'!_FilterDatabase</vt:lpstr>
      <vt:lpstr>'6603Public Transport'!_FilterDatabase</vt:lpstr>
      <vt:lpstr>'6607_Vehicle &amp; Licensing'!_FilterDatabase</vt:lpstr>
      <vt:lpstr>'6707_Electricity Operations'!_FilterDatabase</vt:lpstr>
      <vt:lpstr>'6805_Council Services'!_FilterDatabase</vt:lpstr>
      <vt:lpstr>'6053_Senior Management'!Print_Titles</vt:lpstr>
      <vt:lpstr>'6055_PMU'!Print_Titles</vt:lpstr>
      <vt:lpstr>'6057_Risk Mgt'!Print_Titles</vt:lpstr>
      <vt:lpstr>'6059_Internal Audit'!Print_Titles</vt:lpstr>
      <vt:lpstr>'6103_HRM'!Print_Titles</vt:lpstr>
      <vt:lpstr>'6104_HRD'!Print_Titles</vt:lpstr>
      <vt:lpstr>'6105_Information Tech'!Print_Titles</vt:lpstr>
      <vt:lpstr>'6107_Property Services'!Print_Titles</vt:lpstr>
      <vt:lpstr>'6108_Legal'!Print_Titles</vt:lpstr>
      <vt:lpstr>'6109_Admin'!Print_Titles</vt:lpstr>
      <vt:lpstr>'6111_Fleet MGT'!Print_Titles</vt:lpstr>
      <vt:lpstr>'6113_SCM'!Print_Titles</vt:lpstr>
      <vt:lpstr>'6114_Asset Mgt'!Print_Titles</vt:lpstr>
      <vt:lpstr>'6115_Revenue'!Print_Titles</vt:lpstr>
      <vt:lpstr>'6117_Expenditure'!Print_Titles</vt:lpstr>
      <vt:lpstr>'6119_BTO'!Print_Titles</vt:lpstr>
      <vt:lpstr>'6121_Payroll'!Print_Titles</vt:lpstr>
      <vt:lpstr>'6151_Strategic Planning'!Print_Titles</vt:lpstr>
      <vt:lpstr>'6153_LED'!Print_Titles</vt:lpstr>
      <vt:lpstr>'6155_Town Planning Adm'!Print_Titles</vt:lpstr>
      <vt:lpstr>'6251_Library Services'!Print_Titles</vt:lpstr>
      <vt:lpstr>'6255_Community Facilities'!Print_Titles</vt:lpstr>
      <vt:lpstr>'6267_Cemetery'!Print_Titles</vt:lpstr>
      <vt:lpstr>'6273_Community Other'!Print_Titles</vt:lpstr>
      <vt:lpstr>'6301_Housing'!Print_Titles</vt:lpstr>
      <vt:lpstr>'6351_Security Services'!Print_Titles</vt:lpstr>
      <vt:lpstr>'6353_Disaster Mgt'!Print_Titles</vt:lpstr>
      <vt:lpstr>'6401Roads Operations(Sports)'!Print_Titles</vt:lpstr>
      <vt:lpstr>'6501_Solid Waste'!Print_Titles</vt:lpstr>
      <vt:lpstr>'6601_Roads'!Print_Titles</vt:lpstr>
      <vt:lpstr>'6603Public Transport'!Print_Titles</vt:lpstr>
      <vt:lpstr>'6607_Vehicle &amp; Licensing'!Print_Titles</vt:lpstr>
      <vt:lpstr>'6707_Electricity Operations'!Print_Titles</vt:lpstr>
      <vt:lpstr>'6805_Council Services'!Print_Titles</vt:lpstr>
      <vt:lpstr>PROGRAMMES!Print_Titles</vt:lpstr>
      <vt:lpstr>PROJECTS!Print_Titles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Camelsa Lenovo</dc:creator>
  <cp:lastModifiedBy>MASHAU, N [GGM]</cp:lastModifiedBy>
  <cp:lastPrinted>2022-03-23T13:14:57Z</cp:lastPrinted>
  <dcterms:created xsi:type="dcterms:W3CDTF">2019-01-09T09:00:41Z</dcterms:created>
  <dcterms:modified xsi:type="dcterms:W3CDTF">2022-06-08T09:32:01Z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2d1bd2-cadd-4c77-b9c8-a54067e62758_Enabled">
    <vt:lpwstr>true</vt:lpwstr>
  </property>
  <property fmtid="{D5CDD505-2E9C-101B-9397-08002B2CF9AE}" pid="3" name="MSIP_Label_882d1bd2-cadd-4c77-b9c8-a54067e62758_SetDate">
    <vt:lpwstr>2021-12-20T07:36:09Z</vt:lpwstr>
  </property>
  <property fmtid="{D5CDD505-2E9C-101B-9397-08002B2CF9AE}" pid="4" name="MSIP_Label_882d1bd2-cadd-4c77-b9c8-a54067e62758_Method">
    <vt:lpwstr>Privileged</vt:lpwstr>
  </property>
  <property fmtid="{D5CDD505-2E9C-101B-9397-08002B2CF9AE}" pid="5" name="MSIP_Label_882d1bd2-cadd-4c77-b9c8-a54067e62758_Name">
    <vt:lpwstr>General Information</vt:lpwstr>
  </property>
  <property fmtid="{D5CDD505-2E9C-101B-9397-08002B2CF9AE}" pid="6" name="MSIP_Label_882d1bd2-cadd-4c77-b9c8-a54067e62758_SiteId">
    <vt:lpwstr>b72dd95b-b3a4-4501-988f-574e804d597b</vt:lpwstr>
  </property>
  <property fmtid="{D5CDD505-2E9C-101B-9397-08002B2CF9AE}" pid="7" name="MSIP_Label_882d1bd2-cadd-4c77-b9c8-a54067e62758_ActionId">
    <vt:lpwstr>b933d8c7-2705-4f5b-af76-4c02c42a7e58</vt:lpwstr>
  </property>
  <property fmtid="{D5CDD505-2E9C-101B-9397-08002B2CF9AE}" pid="8" name="MSIP_Label_882d1bd2-cadd-4c77-b9c8-a54067e62758_ContentBits">
    <vt:lpwstr>0</vt:lpwstr>
  </property>
</Properties>
</file>